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5075" windowHeight="12045"/>
  </bookViews>
  <sheets>
    <sheet name="2014-2015 YTD Check Register" sheetId="1" r:id="rId1"/>
  </sheets>
  <calcPr calcId="0"/>
</workbook>
</file>

<file path=xl/calcChain.xml><?xml version="1.0" encoding="utf-8"?>
<calcChain xmlns="http://schemas.openxmlformats.org/spreadsheetml/2006/main">
  <c r="C2" i="1" l="1"/>
  <c r="E2" i="1"/>
  <c r="F2" i="1"/>
  <c r="H2" i="1"/>
  <c r="I2" i="1"/>
  <c r="J2" i="1"/>
  <c r="L2" i="1"/>
  <c r="M2" i="1"/>
  <c r="V2" i="1"/>
  <c r="AE2" i="1"/>
  <c r="C3" i="1"/>
  <c r="E3" i="1"/>
  <c r="F3" i="1"/>
  <c r="H3" i="1"/>
  <c r="I3" i="1"/>
  <c r="J3" i="1"/>
  <c r="L3" i="1"/>
  <c r="M3" i="1"/>
  <c r="V3" i="1"/>
  <c r="AE3" i="1"/>
  <c r="C4" i="1"/>
  <c r="E4" i="1"/>
  <c r="F4" i="1"/>
  <c r="H4" i="1"/>
  <c r="I4" i="1"/>
  <c r="J4" i="1"/>
  <c r="L4" i="1"/>
  <c r="M4" i="1"/>
  <c r="V4" i="1"/>
  <c r="AE4" i="1"/>
  <c r="C5" i="1"/>
  <c r="E5" i="1"/>
  <c r="F5" i="1"/>
  <c r="H5" i="1"/>
  <c r="I5" i="1"/>
  <c r="J5" i="1"/>
  <c r="L5" i="1"/>
  <c r="M5" i="1"/>
  <c r="V5" i="1"/>
  <c r="AE5" i="1"/>
  <c r="C6" i="1"/>
  <c r="E6" i="1"/>
  <c r="F6" i="1"/>
  <c r="H6" i="1"/>
  <c r="I6" i="1"/>
  <c r="J6" i="1"/>
  <c r="L6" i="1"/>
  <c r="M6" i="1"/>
  <c r="V6" i="1"/>
  <c r="AE6" i="1"/>
  <c r="C7" i="1"/>
  <c r="E7" i="1"/>
  <c r="F7" i="1"/>
  <c r="H7" i="1"/>
  <c r="I7" i="1"/>
  <c r="J7" i="1"/>
  <c r="L7" i="1"/>
  <c r="M7" i="1"/>
  <c r="V7" i="1"/>
  <c r="AE7" i="1"/>
  <c r="C8" i="1"/>
  <c r="E8" i="1"/>
  <c r="F8" i="1"/>
  <c r="H8" i="1"/>
  <c r="I8" i="1"/>
  <c r="J8" i="1"/>
  <c r="L8" i="1"/>
  <c r="M8" i="1"/>
  <c r="V8" i="1"/>
  <c r="AE8" i="1"/>
  <c r="C9" i="1"/>
  <c r="E9" i="1"/>
  <c r="F9" i="1"/>
  <c r="H9" i="1"/>
  <c r="I9" i="1"/>
  <c r="J9" i="1"/>
  <c r="L9" i="1"/>
  <c r="M9" i="1"/>
  <c r="V9" i="1"/>
  <c r="AE9" i="1"/>
  <c r="C10" i="1"/>
  <c r="E10" i="1"/>
  <c r="F10" i="1"/>
  <c r="H10" i="1"/>
  <c r="I10" i="1"/>
  <c r="J10" i="1"/>
  <c r="L10" i="1"/>
  <c r="M10" i="1"/>
  <c r="V10" i="1"/>
  <c r="AE10" i="1"/>
  <c r="C11" i="1"/>
  <c r="E11" i="1"/>
  <c r="F11" i="1"/>
  <c r="H11" i="1"/>
  <c r="I11" i="1"/>
  <c r="J11" i="1"/>
  <c r="L11" i="1"/>
  <c r="M11" i="1"/>
  <c r="V11" i="1"/>
  <c r="AE11" i="1"/>
  <c r="C12" i="1"/>
  <c r="E12" i="1"/>
  <c r="F12" i="1"/>
  <c r="H12" i="1"/>
  <c r="I12" i="1"/>
  <c r="J12" i="1"/>
  <c r="L12" i="1"/>
  <c r="M12" i="1"/>
  <c r="V12" i="1"/>
  <c r="AE12" i="1"/>
  <c r="C13" i="1"/>
  <c r="E13" i="1"/>
  <c r="F13" i="1"/>
  <c r="H13" i="1"/>
  <c r="I13" i="1"/>
  <c r="J13" i="1"/>
  <c r="L13" i="1"/>
  <c r="M13" i="1"/>
  <c r="V13" i="1"/>
  <c r="AE13" i="1"/>
  <c r="C14" i="1"/>
  <c r="E14" i="1"/>
  <c r="F14" i="1"/>
  <c r="H14" i="1"/>
  <c r="I14" i="1"/>
  <c r="J14" i="1"/>
  <c r="L14" i="1"/>
  <c r="M14" i="1"/>
  <c r="V14" i="1"/>
  <c r="AE14" i="1"/>
  <c r="C15" i="1"/>
  <c r="E15" i="1"/>
  <c r="F15" i="1"/>
  <c r="H15" i="1"/>
  <c r="I15" i="1"/>
  <c r="J15" i="1"/>
  <c r="L15" i="1"/>
  <c r="M15" i="1"/>
  <c r="V15" i="1"/>
  <c r="AE15" i="1"/>
  <c r="C16" i="1"/>
  <c r="E16" i="1"/>
  <c r="F16" i="1"/>
  <c r="H16" i="1"/>
  <c r="I16" i="1"/>
  <c r="J16" i="1"/>
  <c r="L16" i="1"/>
  <c r="M16" i="1"/>
  <c r="V16" i="1"/>
  <c r="AE16" i="1"/>
  <c r="C17" i="1"/>
  <c r="E17" i="1"/>
  <c r="F17" i="1"/>
  <c r="H17" i="1"/>
  <c r="I17" i="1"/>
  <c r="J17" i="1"/>
  <c r="L17" i="1"/>
  <c r="M17" i="1"/>
  <c r="V17" i="1"/>
  <c r="AE17" i="1"/>
  <c r="C18" i="1"/>
  <c r="E18" i="1"/>
  <c r="F18" i="1"/>
  <c r="H18" i="1"/>
  <c r="I18" i="1"/>
  <c r="J18" i="1"/>
  <c r="L18" i="1"/>
  <c r="M18" i="1"/>
  <c r="V18" i="1"/>
  <c r="AE18" i="1"/>
  <c r="C19" i="1"/>
  <c r="E19" i="1"/>
  <c r="F19" i="1"/>
  <c r="H19" i="1"/>
  <c r="I19" i="1"/>
  <c r="J19" i="1"/>
  <c r="L19" i="1"/>
  <c r="M19" i="1"/>
  <c r="V19" i="1"/>
  <c r="AE19" i="1"/>
  <c r="C20" i="1"/>
  <c r="E20" i="1"/>
  <c r="F20" i="1"/>
  <c r="H20" i="1"/>
  <c r="I20" i="1"/>
  <c r="J20" i="1"/>
  <c r="L20" i="1"/>
  <c r="M20" i="1"/>
  <c r="V20" i="1"/>
  <c r="AE20" i="1"/>
  <c r="C21" i="1"/>
  <c r="E21" i="1"/>
  <c r="F21" i="1"/>
  <c r="H21" i="1"/>
  <c r="I21" i="1"/>
  <c r="J21" i="1"/>
  <c r="L21" i="1"/>
  <c r="M21" i="1"/>
  <c r="V21" i="1"/>
  <c r="AE21" i="1"/>
  <c r="C22" i="1"/>
  <c r="E22" i="1"/>
  <c r="F22" i="1"/>
  <c r="H22" i="1"/>
  <c r="I22" i="1"/>
  <c r="J22" i="1"/>
  <c r="L22" i="1"/>
  <c r="M22" i="1"/>
  <c r="V22" i="1"/>
  <c r="AE22" i="1"/>
  <c r="C23" i="1"/>
  <c r="E23" i="1"/>
  <c r="F23" i="1"/>
  <c r="H23" i="1"/>
  <c r="I23" i="1"/>
  <c r="J23" i="1"/>
  <c r="L23" i="1"/>
  <c r="M23" i="1"/>
  <c r="V23" i="1"/>
  <c r="AE23" i="1"/>
  <c r="C24" i="1"/>
  <c r="E24" i="1"/>
  <c r="F24" i="1"/>
  <c r="H24" i="1"/>
  <c r="I24" i="1"/>
  <c r="J24" i="1"/>
  <c r="L24" i="1"/>
  <c r="M24" i="1"/>
  <c r="V24" i="1"/>
  <c r="AE24" i="1"/>
  <c r="C25" i="1"/>
  <c r="E25" i="1"/>
  <c r="F25" i="1"/>
  <c r="H25" i="1"/>
  <c r="I25" i="1"/>
  <c r="J25" i="1"/>
  <c r="L25" i="1"/>
  <c r="M25" i="1"/>
  <c r="V25" i="1"/>
  <c r="AE25" i="1"/>
  <c r="C26" i="1"/>
  <c r="E26" i="1"/>
  <c r="F26" i="1"/>
  <c r="H26" i="1"/>
  <c r="I26" i="1"/>
  <c r="J26" i="1"/>
  <c r="L26" i="1"/>
  <c r="M26" i="1"/>
  <c r="V26" i="1"/>
  <c r="AE26" i="1"/>
  <c r="C27" i="1"/>
  <c r="E27" i="1"/>
  <c r="F27" i="1"/>
  <c r="H27" i="1"/>
  <c r="I27" i="1"/>
  <c r="J27" i="1"/>
  <c r="L27" i="1"/>
  <c r="M27" i="1"/>
  <c r="V27" i="1"/>
  <c r="AE27" i="1"/>
  <c r="C28" i="1"/>
  <c r="E28" i="1"/>
  <c r="F28" i="1"/>
  <c r="H28" i="1"/>
  <c r="I28" i="1"/>
  <c r="J28" i="1"/>
  <c r="L28" i="1"/>
  <c r="M28" i="1"/>
  <c r="V28" i="1"/>
  <c r="AE28" i="1"/>
  <c r="C29" i="1"/>
  <c r="E29" i="1"/>
  <c r="F29" i="1"/>
  <c r="H29" i="1"/>
  <c r="I29" i="1"/>
  <c r="J29" i="1"/>
  <c r="L29" i="1"/>
  <c r="M29" i="1"/>
  <c r="V29" i="1"/>
  <c r="AE29" i="1"/>
  <c r="C30" i="1"/>
  <c r="E30" i="1"/>
  <c r="F30" i="1"/>
  <c r="H30" i="1"/>
  <c r="I30" i="1"/>
  <c r="J30" i="1"/>
  <c r="L30" i="1"/>
  <c r="M30" i="1"/>
  <c r="V30" i="1"/>
  <c r="AE30" i="1"/>
  <c r="C31" i="1"/>
  <c r="E31" i="1"/>
  <c r="F31" i="1"/>
  <c r="H31" i="1"/>
  <c r="I31" i="1"/>
  <c r="J31" i="1"/>
  <c r="L31" i="1"/>
  <c r="M31" i="1"/>
  <c r="V31" i="1"/>
  <c r="AE31" i="1"/>
  <c r="C32" i="1"/>
  <c r="E32" i="1"/>
  <c r="F32" i="1"/>
  <c r="H32" i="1"/>
  <c r="I32" i="1"/>
  <c r="J32" i="1"/>
  <c r="L32" i="1"/>
  <c r="M32" i="1"/>
  <c r="V32" i="1"/>
  <c r="AE32" i="1"/>
  <c r="C33" i="1"/>
  <c r="E33" i="1"/>
  <c r="F33" i="1"/>
  <c r="H33" i="1"/>
  <c r="I33" i="1"/>
  <c r="J33" i="1"/>
  <c r="L33" i="1"/>
  <c r="M33" i="1"/>
  <c r="V33" i="1"/>
  <c r="AE33" i="1"/>
  <c r="C34" i="1"/>
  <c r="E34" i="1"/>
  <c r="F34" i="1"/>
  <c r="H34" i="1"/>
  <c r="I34" i="1"/>
  <c r="J34" i="1"/>
  <c r="L34" i="1"/>
  <c r="M34" i="1"/>
  <c r="V34" i="1"/>
  <c r="AE34" i="1"/>
  <c r="C35" i="1"/>
  <c r="E35" i="1"/>
  <c r="F35" i="1"/>
  <c r="H35" i="1"/>
  <c r="I35" i="1"/>
  <c r="J35" i="1"/>
  <c r="L35" i="1"/>
  <c r="M35" i="1"/>
  <c r="V35" i="1"/>
  <c r="AE35" i="1"/>
  <c r="C36" i="1"/>
  <c r="E36" i="1"/>
  <c r="F36" i="1"/>
  <c r="H36" i="1"/>
  <c r="I36" i="1"/>
  <c r="J36" i="1"/>
  <c r="L36" i="1"/>
  <c r="M36" i="1"/>
  <c r="V36" i="1"/>
  <c r="AE36" i="1"/>
  <c r="C37" i="1"/>
  <c r="E37" i="1"/>
  <c r="F37" i="1"/>
  <c r="H37" i="1"/>
  <c r="I37" i="1"/>
  <c r="J37" i="1"/>
  <c r="L37" i="1"/>
  <c r="M37" i="1"/>
  <c r="V37" i="1"/>
  <c r="AE37" i="1"/>
  <c r="C38" i="1"/>
  <c r="E38" i="1"/>
  <c r="F38" i="1"/>
  <c r="H38" i="1"/>
  <c r="I38" i="1"/>
  <c r="J38" i="1"/>
  <c r="L38" i="1"/>
  <c r="M38" i="1"/>
  <c r="V38" i="1"/>
  <c r="AE38" i="1"/>
  <c r="C39" i="1"/>
  <c r="E39" i="1"/>
  <c r="F39" i="1"/>
  <c r="H39" i="1"/>
  <c r="I39" i="1"/>
  <c r="J39" i="1"/>
  <c r="L39" i="1"/>
  <c r="M39" i="1"/>
  <c r="V39" i="1"/>
  <c r="AE39" i="1"/>
  <c r="C40" i="1"/>
  <c r="E40" i="1"/>
  <c r="F40" i="1"/>
  <c r="H40" i="1"/>
  <c r="I40" i="1"/>
  <c r="J40" i="1"/>
  <c r="L40" i="1"/>
  <c r="M40" i="1"/>
  <c r="V40" i="1"/>
  <c r="AE40" i="1"/>
  <c r="C41" i="1"/>
  <c r="E41" i="1"/>
  <c r="F41" i="1"/>
  <c r="H41" i="1"/>
  <c r="I41" i="1"/>
  <c r="J41" i="1"/>
  <c r="L41" i="1"/>
  <c r="M41" i="1"/>
  <c r="V41" i="1"/>
  <c r="AE41" i="1"/>
  <c r="C42" i="1"/>
  <c r="E42" i="1"/>
  <c r="F42" i="1"/>
  <c r="H42" i="1"/>
  <c r="I42" i="1"/>
  <c r="J42" i="1"/>
  <c r="L42" i="1"/>
  <c r="M42" i="1"/>
  <c r="V42" i="1"/>
  <c r="AE42" i="1"/>
  <c r="C43" i="1"/>
  <c r="E43" i="1"/>
  <c r="F43" i="1"/>
  <c r="H43" i="1"/>
  <c r="I43" i="1"/>
  <c r="J43" i="1"/>
  <c r="L43" i="1"/>
  <c r="M43" i="1"/>
  <c r="V43" i="1"/>
  <c r="AE43" i="1"/>
  <c r="C44" i="1"/>
  <c r="E44" i="1"/>
  <c r="F44" i="1"/>
  <c r="H44" i="1"/>
  <c r="I44" i="1"/>
  <c r="J44" i="1"/>
  <c r="L44" i="1"/>
  <c r="M44" i="1"/>
  <c r="V44" i="1"/>
  <c r="AE44" i="1"/>
  <c r="C45" i="1"/>
  <c r="E45" i="1"/>
  <c r="F45" i="1"/>
  <c r="H45" i="1"/>
  <c r="I45" i="1"/>
  <c r="J45" i="1"/>
  <c r="L45" i="1"/>
  <c r="M45" i="1"/>
  <c r="V45" i="1"/>
  <c r="AE45" i="1"/>
  <c r="C46" i="1"/>
  <c r="E46" i="1"/>
  <c r="F46" i="1"/>
  <c r="H46" i="1"/>
  <c r="I46" i="1"/>
  <c r="J46" i="1"/>
  <c r="L46" i="1"/>
  <c r="M46" i="1"/>
  <c r="V46" i="1"/>
  <c r="AE46" i="1"/>
  <c r="C47" i="1"/>
  <c r="E47" i="1"/>
  <c r="F47" i="1"/>
  <c r="H47" i="1"/>
  <c r="I47" i="1"/>
  <c r="J47" i="1"/>
  <c r="L47" i="1"/>
  <c r="M47" i="1"/>
  <c r="V47" i="1"/>
  <c r="AE47" i="1"/>
  <c r="C48" i="1"/>
  <c r="E48" i="1"/>
  <c r="F48" i="1"/>
  <c r="H48" i="1"/>
  <c r="I48" i="1"/>
  <c r="J48" i="1"/>
  <c r="L48" i="1"/>
  <c r="M48" i="1"/>
  <c r="V48" i="1"/>
  <c r="AE48" i="1"/>
  <c r="C49" i="1"/>
  <c r="E49" i="1"/>
  <c r="F49" i="1"/>
  <c r="H49" i="1"/>
  <c r="I49" i="1"/>
  <c r="J49" i="1"/>
  <c r="L49" i="1"/>
  <c r="M49" i="1"/>
  <c r="V49" i="1"/>
  <c r="AE49" i="1"/>
  <c r="C50" i="1"/>
  <c r="E50" i="1"/>
  <c r="F50" i="1"/>
  <c r="H50" i="1"/>
  <c r="I50" i="1"/>
  <c r="J50" i="1"/>
  <c r="L50" i="1"/>
  <c r="M50" i="1"/>
  <c r="V50" i="1"/>
  <c r="AE50" i="1"/>
  <c r="C51" i="1"/>
  <c r="E51" i="1"/>
  <c r="F51" i="1"/>
  <c r="H51" i="1"/>
  <c r="I51" i="1"/>
  <c r="J51" i="1"/>
  <c r="L51" i="1"/>
  <c r="M51" i="1"/>
  <c r="AE51" i="1"/>
  <c r="C52" i="1"/>
  <c r="E52" i="1"/>
  <c r="F52" i="1"/>
  <c r="H52" i="1"/>
  <c r="I52" i="1"/>
  <c r="J52" i="1"/>
  <c r="L52" i="1"/>
  <c r="M52" i="1"/>
  <c r="V52" i="1"/>
  <c r="AE52" i="1"/>
  <c r="C53" i="1"/>
  <c r="E53" i="1"/>
  <c r="F53" i="1"/>
  <c r="H53" i="1"/>
  <c r="I53" i="1"/>
  <c r="J53" i="1"/>
  <c r="L53" i="1"/>
  <c r="M53" i="1"/>
  <c r="V53" i="1"/>
  <c r="AE53" i="1"/>
  <c r="C54" i="1"/>
  <c r="E54" i="1"/>
  <c r="F54" i="1"/>
  <c r="H54" i="1"/>
  <c r="I54" i="1"/>
  <c r="J54" i="1"/>
  <c r="L54" i="1"/>
  <c r="M54" i="1"/>
  <c r="V54" i="1"/>
  <c r="AE54" i="1"/>
  <c r="C55" i="1"/>
  <c r="E55" i="1"/>
  <c r="F55" i="1"/>
  <c r="H55" i="1"/>
  <c r="I55" i="1"/>
  <c r="J55" i="1"/>
  <c r="L55" i="1"/>
  <c r="M55" i="1"/>
  <c r="V55" i="1"/>
  <c r="AE55" i="1"/>
  <c r="C56" i="1"/>
  <c r="E56" i="1"/>
  <c r="F56" i="1"/>
  <c r="H56" i="1"/>
  <c r="I56" i="1"/>
  <c r="J56" i="1"/>
  <c r="L56" i="1"/>
  <c r="M56" i="1"/>
  <c r="V56" i="1"/>
  <c r="AE56" i="1"/>
  <c r="C57" i="1"/>
  <c r="E57" i="1"/>
  <c r="F57" i="1"/>
  <c r="H57" i="1"/>
  <c r="I57" i="1"/>
  <c r="J57" i="1"/>
  <c r="L57" i="1"/>
  <c r="M57" i="1"/>
  <c r="V57" i="1"/>
  <c r="AE57" i="1"/>
  <c r="C58" i="1"/>
  <c r="E58" i="1"/>
  <c r="F58" i="1"/>
  <c r="H58" i="1"/>
  <c r="I58" i="1"/>
  <c r="J58" i="1"/>
  <c r="L58" i="1"/>
  <c r="M58" i="1"/>
  <c r="V58" i="1"/>
  <c r="AE58" i="1"/>
  <c r="C59" i="1"/>
  <c r="E59" i="1"/>
  <c r="F59" i="1"/>
  <c r="H59" i="1"/>
  <c r="I59" i="1"/>
  <c r="J59" i="1"/>
  <c r="L59" i="1"/>
  <c r="M59" i="1"/>
  <c r="V59" i="1"/>
  <c r="AE59" i="1"/>
  <c r="C60" i="1"/>
  <c r="E60" i="1"/>
  <c r="F60" i="1"/>
  <c r="H60" i="1"/>
  <c r="I60" i="1"/>
  <c r="J60" i="1"/>
  <c r="L60" i="1"/>
  <c r="M60" i="1"/>
  <c r="V60" i="1"/>
  <c r="AE60" i="1"/>
  <c r="C61" i="1"/>
  <c r="E61" i="1"/>
  <c r="F61" i="1"/>
  <c r="H61" i="1"/>
  <c r="I61" i="1"/>
  <c r="J61" i="1"/>
  <c r="L61" i="1"/>
  <c r="M61" i="1"/>
  <c r="V61" i="1"/>
  <c r="AE61" i="1"/>
  <c r="C62" i="1"/>
  <c r="E62" i="1"/>
  <c r="F62" i="1"/>
  <c r="H62" i="1"/>
  <c r="I62" i="1"/>
  <c r="J62" i="1"/>
  <c r="L62" i="1"/>
  <c r="M62" i="1"/>
  <c r="V62" i="1"/>
  <c r="AE62" i="1"/>
  <c r="C63" i="1"/>
  <c r="E63" i="1"/>
  <c r="F63" i="1"/>
  <c r="H63" i="1"/>
  <c r="I63" i="1"/>
  <c r="J63" i="1"/>
  <c r="L63" i="1"/>
  <c r="M63" i="1"/>
  <c r="V63" i="1"/>
  <c r="AE63" i="1"/>
  <c r="C64" i="1"/>
  <c r="E64" i="1"/>
  <c r="F64" i="1"/>
  <c r="H64" i="1"/>
  <c r="I64" i="1"/>
  <c r="J64" i="1"/>
  <c r="L64" i="1"/>
  <c r="M64" i="1"/>
  <c r="V64" i="1"/>
  <c r="AE64" i="1"/>
  <c r="C65" i="1"/>
  <c r="E65" i="1"/>
  <c r="F65" i="1"/>
  <c r="H65" i="1"/>
  <c r="I65" i="1"/>
  <c r="J65" i="1"/>
  <c r="L65" i="1"/>
  <c r="M65" i="1"/>
  <c r="V65" i="1"/>
  <c r="AE65" i="1"/>
  <c r="C66" i="1"/>
  <c r="E66" i="1"/>
  <c r="F66" i="1"/>
  <c r="H66" i="1"/>
  <c r="I66" i="1"/>
  <c r="J66" i="1"/>
  <c r="L66" i="1"/>
  <c r="M66" i="1"/>
  <c r="V66" i="1"/>
  <c r="AE66" i="1"/>
  <c r="C67" i="1"/>
  <c r="E67" i="1"/>
  <c r="F67" i="1"/>
  <c r="H67" i="1"/>
  <c r="I67" i="1"/>
  <c r="J67" i="1"/>
  <c r="L67" i="1"/>
  <c r="M67" i="1"/>
  <c r="V67" i="1"/>
  <c r="AE67" i="1"/>
  <c r="C68" i="1"/>
  <c r="E68" i="1"/>
  <c r="F68" i="1"/>
  <c r="H68" i="1"/>
  <c r="I68" i="1"/>
  <c r="J68" i="1"/>
  <c r="L68" i="1"/>
  <c r="M68" i="1"/>
  <c r="V68" i="1"/>
  <c r="AE68" i="1"/>
  <c r="C69" i="1"/>
  <c r="E69" i="1"/>
  <c r="F69" i="1"/>
  <c r="H69" i="1"/>
  <c r="I69" i="1"/>
  <c r="J69" i="1"/>
  <c r="L69" i="1"/>
  <c r="M69" i="1"/>
  <c r="V69" i="1"/>
  <c r="AE69" i="1"/>
  <c r="C70" i="1"/>
  <c r="E70" i="1"/>
  <c r="F70" i="1"/>
  <c r="H70" i="1"/>
  <c r="I70" i="1"/>
  <c r="J70" i="1"/>
  <c r="L70" i="1"/>
  <c r="M70" i="1"/>
  <c r="V70" i="1"/>
  <c r="AE70" i="1"/>
  <c r="C71" i="1"/>
  <c r="E71" i="1"/>
  <c r="F71" i="1"/>
  <c r="H71" i="1"/>
  <c r="I71" i="1"/>
  <c r="J71" i="1"/>
  <c r="L71" i="1"/>
  <c r="M71" i="1"/>
  <c r="V71" i="1"/>
  <c r="AE71" i="1"/>
  <c r="C72" i="1"/>
  <c r="E72" i="1"/>
  <c r="F72" i="1"/>
  <c r="H72" i="1"/>
  <c r="I72" i="1"/>
  <c r="J72" i="1"/>
  <c r="L72" i="1"/>
  <c r="M72" i="1"/>
  <c r="V72" i="1"/>
  <c r="AE72" i="1"/>
  <c r="C73" i="1"/>
  <c r="E73" i="1"/>
  <c r="F73" i="1"/>
  <c r="H73" i="1"/>
  <c r="I73" i="1"/>
  <c r="J73" i="1"/>
  <c r="L73" i="1"/>
  <c r="M73" i="1"/>
  <c r="V73" i="1"/>
  <c r="AE73" i="1"/>
  <c r="C74" i="1"/>
  <c r="E74" i="1"/>
  <c r="F74" i="1"/>
  <c r="H74" i="1"/>
  <c r="I74" i="1"/>
  <c r="J74" i="1"/>
  <c r="L74" i="1"/>
  <c r="M74" i="1"/>
  <c r="V74" i="1"/>
  <c r="AE74" i="1"/>
  <c r="C75" i="1"/>
  <c r="E75" i="1"/>
  <c r="F75" i="1"/>
  <c r="H75" i="1"/>
  <c r="I75" i="1"/>
  <c r="J75" i="1"/>
  <c r="L75" i="1"/>
  <c r="M75" i="1"/>
  <c r="V75" i="1"/>
  <c r="AE75" i="1"/>
  <c r="C76" i="1"/>
  <c r="E76" i="1"/>
  <c r="F76" i="1"/>
  <c r="H76" i="1"/>
  <c r="I76" i="1"/>
  <c r="J76" i="1"/>
  <c r="L76" i="1"/>
  <c r="M76" i="1"/>
  <c r="V76" i="1"/>
  <c r="AE76" i="1"/>
  <c r="C77" i="1"/>
  <c r="E77" i="1"/>
  <c r="F77" i="1"/>
  <c r="H77" i="1"/>
  <c r="I77" i="1"/>
  <c r="J77" i="1"/>
  <c r="L77" i="1"/>
  <c r="M77" i="1"/>
  <c r="V77" i="1"/>
  <c r="AE77" i="1"/>
  <c r="C78" i="1"/>
  <c r="E78" i="1"/>
  <c r="F78" i="1"/>
  <c r="H78" i="1"/>
  <c r="I78" i="1"/>
  <c r="J78" i="1"/>
  <c r="L78" i="1"/>
  <c r="M78" i="1"/>
  <c r="V78" i="1"/>
  <c r="AE78" i="1"/>
  <c r="C79" i="1"/>
  <c r="E79" i="1"/>
  <c r="F79" i="1"/>
  <c r="H79" i="1"/>
  <c r="I79" i="1"/>
  <c r="J79" i="1"/>
  <c r="L79" i="1"/>
  <c r="M79" i="1"/>
  <c r="V79" i="1"/>
  <c r="AE79" i="1"/>
  <c r="C80" i="1"/>
  <c r="E80" i="1"/>
  <c r="F80" i="1"/>
  <c r="H80" i="1"/>
  <c r="I80" i="1"/>
  <c r="J80" i="1"/>
  <c r="L80" i="1"/>
  <c r="M80" i="1"/>
  <c r="V80" i="1"/>
  <c r="AE80" i="1"/>
  <c r="C81" i="1"/>
  <c r="E81" i="1"/>
  <c r="F81" i="1"/>
  <c r="H81" i="1"/>
  <c r="I81" i="1"/>
  <c r="J81" i="1"/>
  <c r="L81" i="1"/>
  <c r="M81" i="1"/>
  <c r="V81" i="1"/>
  <c r="AE81" i="1"/>
  <c r="C82" i="1"/>
  <c r="E82" i="1"/>
  <c r="F82" i="1"/>
  <c r="H82" i="1"/>
  <c r="I82" i="1"/>
  <c r="J82" i="1"/>
  <c r="L82" i="1"/>
  <c r="M82" i="1"/>
  <c r="V82" i="1"/>
  <c r="AE82" i="1"/>
  <c r="C83" i="1"/>
  <c r="E83" i="1"/>
  <c r="F83" i="1"/>
  <c r="H83" i="1"/>
  <c r="I83" i="1"/>
  <c r="J83" i="1"/>
  <c r="L83" i="1"/>
  <c r="M83" i="1"/>
  <c r="V83" i="1"/>
  <c r="AE83" i="1"/>
  <c r="C84" i="1"/>
  <c r="E84" i="1"/>
  <c r="F84" i="1"/>
  <c r="H84" i="1"/>
  <c r="I84" i="1"/>
  <c r="J84" i="1"/>
  <c r="L84" i="1"/>
  <c r="M84" i="1"/>
  <c r="V84" i="1"/>
  <c r="AE84" i="1"/>
  <c r="C85" i="1"/>
  <c r="E85" i="1"/>
  <c r="F85" i="1"/>
  <c r="H85" i="1"/>
  <c r="I85" i="1"/>
  <c r="J85" i="1"/>
  <c r="L85" i="1"/>
  <c r="M85" i="1"/>
  <c r="V85" i="1"/>
  <c r="AE85" i="1"/>
  <c r="C86" i="1"/>
  <c r="E86" i="1"/>
  <c r="F86" i="1"/>
  <c r="H86" i="1"/>
  <c r="I86" i="1"/>
  <c r="J86" i="1"/>
  <c r="L86" i="1"/>
  <c r="M86" i="1"/>
  <c r="V86" i="1"/>
  <c r="AE86" i="1"/>
  <c r="C87" i="1"/>
  <c r="E87" i="1"/>
  <c r="F87" i="1"/>
  <c r="H87" i="1"/>
  <c r="I87" i="1"/>
  <c r="J87" i="1"/>
  <c r="L87" i="1"/>
  <c r="M87" i="1"/>
  <c r="V87" i="1"/>
  <c r="AE87" i="1"/>
  <c r="C88" i="1"/>
  <c r="E88" i="1"/>
  <c r="F88" i="1"/>
  <c r="H88" i="1"/>
  <c r="I88" i="1"/>
  <c r="J88" i="1"/>
  <c r="L88" i="1"/>
  <c r="M88" i="1"/>
  <c r="V88" i="1"/>
  <c r="AE88" i="1"/>
  <c r="C89" i="1"/>
  <c r="E89" i="1"/>
  <c r="F89" i="1"/>
  <c r="H89" i="1"/>
  <c r="I89" i="1"/>
  <c r="J89" i="1"/>
  <c r="L89" i="1"/>
  <c r="M89" i="1"/>
  <c r="V89" i="1"/>
  <c r="AE89" i="1"/>
  <c r="C90" i="1"/>
  <c r="E90" i="1"/>
  <c r="F90" i="1"/>
  <c r="H90" i="1"/>
  <c r="I90" i="1"/>
  <c r="J90" i="1"/>
  <c r="L90" i="1"/>
  <c r="M90" i="1"/>
  <c r="V90" i="1"/>
  <c r="AE90" i="1"/>
  <c r="C91" i="1"/>
  <c r="E91" i="1"/>
  <c r="F91" i="1"/>
  <c r="H91" i="1"/>
  <c r="I91" i="1"/>
  <c r="J91" i="1"/>
  <c r="L91" i="1"/>
  <c r="M91" i="1"/>
  <c r="V91" i="1"/>
  <c r="AE91" i="1"/>
  <c r="C92" i="1"/>
  <c r="E92" i="1"/>
  <c r="F92" i="1"/>
  <c r="H92" i="1"/>
  <c r="I92" i="1"/>
  <c r="J92" i="1"/>
  <c r="L92" i="1"/>
  <c r="M92" i="1"/>
  <c r="V92" i="1"/>
  <c r="AE92" i="1"/>
  <c r="C93" i="1"/>
  <c r="E93" i="1"/>
  <c r="F93" i="1"/>
  <c r="H93" i="1"/>
  <c r="I93" i="1"/>
  <c r="J93" i="1"/>
  <c r="L93" i="1"/>
  <c r="M93" i="1"/>
  <c r="V93" i="1"/>
  <c r="AE93" i="1"/>
  <c r="C94" i="1"/>
  <c r="E94" i="1"/>
  <c r="F94" i="1"/>
  <c r="H94" i="1"/>
  <c r="I94" i="1"/>
  <c r="J94" i="1"/>
  <c r="L94" i="1"/>
  <c r="M94" i="1"/>
  <c r="V94" i="1"/>
  <c r="AE94" i="1"/>
  <c r="C95" i="1"/>
  <c r="E95" i="1"/>
  <c r="F95" i="1"/>
  <c r="H95" i="1"/>
  <c r="I95" i="1"/>
  <c r="J95" i="1"/>
  <c r="L95" i="1"/>
  <c r="M95" i="1"/>
  <c r="V95" i="1"/>
  <c r="AE95" i="1"/>
  <c r="C96" i="1"/>
  <c r="E96" i="1"/>
  <c r="F96" i="1"/>
  <c r="H96" i="1"/>
  <c r="I96" i="1"/>
  <c r="J96" i="1"/>
  <c r="L96" i="1"/>
  <c r="M96" i="1"/>
  <c r="V96" i="1"/>
  <c r="AE96" i="1"/>
  <c r="C97" i="1"/>
  <c r="E97" i="1"/>
  <c r="F97" i="1"/>
  <c r="H97" i="1"/>
  <c r="I97" i="1"/>
  <c r="J97" i="1"/>
  <c r="L97" i="1"/>
  <c r="M97" i="1"/>
  <c r="V97" i="1"/>
  <c r="AE97" i="1"/>
  <c r="C98" i="1"/>
  <c r="E98" i="1"/>
  <c r="F98" i="1"/>
  <c r="H98" i="1"/>
  <c r="I98" i="1"/>
  <c r="J98" i="1"/>
  <c r="L98" i="1"/>
  <c r="M98" i="1"/>
  <c r="V98" i="1"/>
  <c r="AE98" i="1"/>
  <c r="C99" i="1"/>
  <c r="E99" i="1"/>
  <c r="F99" i="1"/>
  <c r="H99" i="1"/>
  <c r="I99" i="1"/>
  <c r="J99" i="1"/>
  <c r="L99" i="1"/>
  <c r="M99" i="1"/>
  <c r="V99" i="1"/>
  <c r="AE99" i="1"/>
  <c r="C100" i="1"/>
  <c r="E100" i="1"/>
  <c r="F100" i="1"/>
  <c r="H100" i="1"/>
  <c r="I100" i="1"/>
  <c r="J100" i="1"/>
  <c r="L100" i="1"/>
  <c r="M100" i="1"/>
  <c r="V100" i="1"/>
  <c r="AE100" i="1"/>
  <c r="C101" i="1"/>
  <c r="E101" i="1"/>
  <c r="F101" i="1"/>
  <c r="H101" i="1"/>
  <c r="I101" i="1"/>
  <c r="J101" i="1"/>
  <c r="L101" i="1"/>
  <c r="M101" i="1"/>
  <c r="V101" i="1"/>
  <c r="AE101" i="1"/>
  <c r="C102" i="1"/>
  <c r="E102" i="1"/>
  <c r="F102" i="1"/>
  <c r="H102" i="1"/>
  <c r="I102" i="1"/>
  <c r="J102" i="1"/>
  <c r="L102" i="1"/>
  <c r="M102" i="1"/>
  <c r="V102" i="1"/>
  <c r="AE102" i="1"/>
  <c r="C103" i="1"/>
  <c r="E103" i="1"/>
  <c r="F103" i="1"/>
  <c r="H103" i="1"/>
  <c r="I103" i="1"/>
  <c r="J103" i="1"/>
  <c r="L103" i="1"/>
  <c r="M103" i="1"/>
  <c r="V103" i="1"/>
  <c r="AE103" i="1"/>
  <c r="C104" i="1"/>
  <c r="E104" i="1"/>
  <c r="F104" i="1"/>
  <c r="H104" i="1"/>
  <c r="I104" i="1"/>
  <c r="J104" i="1"/>
  <c r="L104" i="1"/>
  <c r="M104" i="1"/>
  <c r="V104" i="1"/>
  <c r="AE104" i="1"/>
  <c r="C105" i="1"/>
  <c r="E105" i="1"/>
  <c r="F105" i="1"/>
  <c r="H105" i="1"/>
  <c r="I105" i="1"/>
  <c r="J105" i="1"/>
  <c r="L105" i="1"/>
  <c r="M105" i="1"/>
  <c r="V105" i="1"/>
  <c r="AE105" i="1"/>
  <c r="C106" i="1"/>
  <c r="E106" i="1"/>
  <c r="F106" i="1"/>
  <c r="H106" i="1"/>
  <c r="I106" i="1"/>
  <c r="J106" i="1"/>
  <c r="L106" i="1"/>
  <c r="M106" i="1"/>
  <c r="V106" i="1"/>
  <c r="AE106" i="1"/>
  <c r="C107" i="1"/>
  <c r="E107" i="1"/>
  <c r="F107" i="1"/>
  <c r="H107" i="1"/>
  <c r="I107" i="1"/>
  <c r="J107" i="1"/>
  <c r="L107" i="1"/>
  <c r="M107" i="1"/>
  <c r="V107" i="1"/>
  <c r="AE107" i="1"/>
  <c r="C108" i="1"/>
  <c r="E108" i="1"/>
  <c r="F108" i="1"/>
  <c r="H108" i="1"/>
  <c r="I108" i="1"/>
  <c r="J108" i="1"/>
  <c r="L108" i="1"/>
  <c r="M108" i="1"/>
  <c r="V108" i="1"/>
  <c r="AE108" i="1"/>
  <c r="C109" i="1"/>
  <c r="E109" i="1"/>
  <c r="F109" i="1"/>
  <c r="H109" i="1"/>
  <c r="I109" i="1"/>
  <c r="J109" i="1"/>
  <c r="L109" i="1"/>
  <c r="M109" i="1"/>
  <c r="V109" i="1"/>
  <c r="AE109" i="1"/>
  <c r="C110" i="1"/>
  <c r="E110" i="1"/>
  <c r="F110" i="1"/>
  <c r="H110" i="1"/>
  <c r="I110" i="1"/>
  <c r="J110" i="1"/>
  <c r="L110" i="1"/>
  <c r="M110" i="1"/>
  <c r="V110" i="1"/>
  <c r="AE110" i="1"/>
  <c r="C111" i="1"/>
  <c r="E111" i="1"/>
  <c r="F111" i="1"/>
  <c r="H111" i="1"/>
  <c r="I111" i="1"/>
  <c r="J111" i="1"/>
  <c r="L111" i="1"/>
  <c r="M111" i="1"/>
  <c r="V111" i="1"/>
  <c r="AE111" i="1"/>
  <c r="C112" i="1"/>
  <c r="E112" i="1"/>
  <c r="F112" i="1"/>
  <c r="H112" i="1"/>
  <c r="I112" i="1"/>
  <c r="J112" i="1"/>
  <c r="L112" i="1"/>
  <c r="M112" i="1"/>
  <c r="V112" i="1"/>
  <c r="AE112" i="1"/>
  <c r="C113" i="1"/>
  <c r="E113" i="1"/>
  <c r="F113" i="1"/>
  <c r="H113" i="1"/>
  <c r="I113" i="1"/>
  <c r="J113" i="1"/>
  <c r="L113" i="1"/>
  <c r="M113" i="1"/>
  <c r="V113" i="1"/>
  <c r="AE113" i="1"/>
  <c r="C114" i="1"/>
  <c r="E114" i="1"/>
  <c r="F114" i="1"/>
  <c r="H114" i="1"/>
  <c r="I114" i="1"/>
  <c r="J114" i="1"/>
  <c r="L114" i="1"/>
  <c r="M114" i="1"/>
  <c r="V114" i="1"/>
  <c r="AE114" i="1"/>
  <c r="C115" i="1"/>
  <c r="E115" i="1"/>
  <c r="F115" i="1"/>
  <c r="H115" i="1"/>
  <c r="I115" i="1"/>
  <c r="J115" i="1"/>
  <c r="L115" i="1"/>
  <c r="M115" i="1"/>
  <c r="V115" i="1"/>
  <c r="AE115" i="1"/>
  <c r="C116" i="1"/>
  <c r="E116" i="1"/>
  <c r="F116" i="1"/>
  <c r="H116" i="1"/>
  <c r="I116" i="1"/>
  <c r="J116" i="1"/>
  <c r="L116" i="1"/>
  <c r="M116" i="1"/>
  <c r="V116" i="1"/>
  <c r="AE116" i="1"/>
  <c r="C117" i="1"/>
  <c r="E117" i="1"/>
  <c r="F117" i="1"/>
  <c r="H117" i="1"/>
  <c r="I117" i="1"/>
  <c r="J117" i="1"/>
  <c r="L117" i="1"/>
  <c r="M117" i="1"/>
  <c r="V117" i="1"/>
  <c r="AE117" i="1"/>
  <c r="C118" i="1"/>
  <c r="E118" i="1"/>
  <c r="F118" i="1"/>
  <c r="H118" i="1"/>
  <c r="I118" i="1"/>
  <c r="J118" i="1"/>
  <c r="L118" i="1"/>
  <c r="M118" i="1"/>
  <c r="V118" i="1"/>
  <c r="AE118" i="1"/>
  <c r="C119" i="1"/>
  <c r="E119" i="1"/>
  <c r="F119" i="1"/>
  <c r="H119" i="1"/>
  <c r="I119" i="1"/>
  <c r="J119" i="1"/>
  <c r="L119" i="1"/>
  <c r="M119" i="1"/>
  <c r="V119" i="1"/>
  <c r="AE119" i="1"/>
  <c r="C120" i="1"/>
  <c r="E120" i="1"/>
  <c r="F120" i="1"/>
  <c r="H120" i="1"/>
  <c r="I120" i="1"/>
  <c r="J120" i="1"/>
  <c r="L120" i="1"/>
  <c r="M120" i="1"/>
  <c r="V120" i="1"/>
  <c r="AE120" i="1"/>
  <c r="C121" i="1"/>
  <c r="E121" i="1"/>
  <c r="F121" i="1"/>
  <c r="H121" i="1"/>
  <c r="I121" i="1"/>
  <c r="J121" i="1"/>
  <c r="L121" i="1"/>
  <c r="M121" i="1"/>
  <c r="V121" i="1"/>
  <c r="AE121" i="1"/>
  <c r="C122" i="1"/>
  <c r="E122" i="1"/>
  <c r="F122" i="1"/>
  <c r="H122" i="1"/>
  <c r="I122" i="1"/>
  <c r="J122" i="1"/>
  <c r="L122" i="1"/>
  <c r="M122" i="1"/>
  <c r="V122" i="1"/>
  <c r="AE122" i="1"/>
  <c r="C123" i="1"/>
  <c r="E123" i="1"/>
  <c r="F123" i="1"/>
  <c r="H123" i="1"/>
  <c r="I123" i="1"/>
  <c r="J123" i="1"/>
  <c r="L123" i="1"/>
  <c r="M123" i="1"/>
  <c r="V123" i="1"/>
  <c r="AE123" i="1"/>
  <c r="C124" i="1"/>
  <c r="E124" i="1"/>
  <c r="F124" i="1"/>
  <c r="H124" i="1"/>
  <c r="I124" i="1"/>
  <c r="J124" i="1"/>
  <c r="L124" i="1"/>
  <c r="M124" i="1"/>
  <c r="V124" i="1"/>
  <c r="AE124" i="1"/>
  <c r="C125" i="1"/>
  <c r="E125" i="1"/>
  <c r="F125" i="1"/>
  <c r="H125" i="1"/>
  <c r="I125" i="1"/>
  <c r="J125" i="1"/>
  <c r="L125" i="1"/>
  <c r="M125" i="1"/>
  <c r="V125" i="1"/>
  <c r="AE125" i="1"/>
  <c r="C126" i="1"/>
  <c r="E126" i="1"/>
  <c r="F126" i="1"/>
  <c r="H126" i="1"/>
  <c r="I126" i="1"/>
  <c r="J126" i="1"/>
  <c r="L126" i="1"/>
  <c r="M126" i="1"/>
  <c r="V126" i="1"/>
  <c r="AE126" i="1"/>
  <c r="C127" i="1"/>
  <c r="E127" i="1"/>
  <c r="F127" i="1"/>
  <c r="H127" i="1"/>
  <c r="I127" i="1"/>
  <c r="J127" i="1"/>
  <c r="L127" i="1"/>
  <c r="M127" i="1"/>
  <c r="V127" i="1"/>
  <c r="AE127" i="1"/>
  <c r="C128" i="1"/>
  <c r="E128" i="1"/>
  <c r="F128" i="1"/>
  <c r="H128" i="1"/>
  <c r="I128" i="1"/>
  <c r="J128" i="1"/>
  <c r="L128" i="1"/>
  <c r="M128" i="1"/>
  <c r="V128" i="1"/>
  <c r="AE128" i="1"/>
  <c r="C129" i="1"/>
  <c r="E129" i="1"/>
  <c r="F129" i="1"/>
  <c r="H129" i="1"/>
  <c r="I129" i="1"/>
  <c r="J129" i="1"/>
  <c r="L129" i="1"/>
  <c r="M129" i="1"/>
  <c r="V129" i="1"/>
  <c r="AE129" i="1"/>
  <c r="C130" i="1"/>
  <c r="E130" i="1"/>
  <c r="F130" i="1"/>
  <c r="H130" i="1"/>
  <c r="I130" i="1"/>
  <c r="J130" i="1"/>
  <c r="L130" i="1"/>
  <c r="M130" i="1"/>
  <c r="V130" i="1"/>
  <c r="AE130" i="1"/>
  <c r="C131" i="1"/>
  <c r="E131" i="1"/>
  <c r="F131" i="1"/>
  <c r="H131" i="1"/>
  <c r="I131" i="1"/>
  <c r="J131" i="1"/>
  <c r="L131" i="1"/>
  <c r="M131" i="1"/>
  <c r="V131" i="1"/>
  <c r="AE131" i="1"/>
  <c r="C132" i="1"/>
  <c r="E132" i="1"/>
  <c r="F132" i="1"/>
  <c r="H132" i="1"/>
  <c r="I132" i="1"/>
  <c r="J132" i="1"/>
  <c r="L132" i="1"/>
  <c r="M132" i="1"/>
  <c r="V132" i="1"/>
  <c r="AE132" i="1"/>
  <c r="C133" i="1"/>
  <c r="E133" i="1"/>
  <c r="F133" i="1"/>
  <c r="H133" i="1"/>
  <c r="I133" i="1"/>
  <c r="J133" i="1"/>
  <c r="L133" i="1"/>
  <c r="M133" i="1"/>
  <c r="V133" i="1"/>
  <c r="AE133" i="1"/>
  <c r="C134" i="1"/>
  <c r="E134" i="1"/>
  <c r="F134" i="1"/>
  <c r="H134" i="1"/>
  <c r="I134" i="1"/>
  <c r="J134" i="1"/>
  <c r="L134" i="1"/>
  <c r="M134" i="1"/>
  <c r="V134" i="1"/>
  <c r="AE134" i="1"/>
  <c r="C135" i="1"/>
  <c r="E135" i="1"/>
  <c r="F135" i="1"/>
  <c r="H135" i="1"/>
  <c r="I135" i="1"/>
  <c r="J135" i="1"/>
  <c r="L135" i="1"/>
  <c r="M135" i="1"/>
  <c r="V135" i="1"/>
  <c r="AE135" i="1"/>
  <c r="C136" i="1"/>
  <c r="E136" i="1"/>
  <c r="F136" i="1"/>
  <c r="H136" i="1"/>
  <c r="I136" i="1"/>
  <c r="J136" i="1"/>
  <c r="L136" i="1"/>
  <c r="M136" i="1"/>
  <c r="V136" i="1"/>
  <c r="AE136" i="1"/>
  <c r="C137" i="1"/>
  <c r="E137" i="1"/>
  <c r="F137" i="1"/>
  <c r="H137" i="1"/>
  <c r="I137" i="1"/>
  <c r="J137" i="1"/>
  <c r="L137" i="1"/>
  <c r="M137" i="1"/>
  <c r="V137" i="1"/>
  <c r="AE137" i="1"/>
  <c r="C138" i="1"/>
  <c r="E138" i="1"/>
  <c r="F138" i="1"/>
  <c r="H138" i="1"/>
  <c r="I138" i="1"/>
  <c r="J138" i="1"/>
  <c r="L138" i="1"/>
  <c r="M138" i="1"/>
  <c r="V138" i="1"/>
  <c r="AE138" i="1"/>
  <c r="C139" i="1"/>
  <c r="E139" i="1"/>
  <c r="F139" i="1"/>
  <c r="H139" i="1"/>
  <c r="I139" i="1"/>
  <c r="J139" i="1"/>
  <c r="L139" i="1"/>
  <c r="M139" i="1"/>
  <c r="V139" i="1"/>
  <c r="AE139" i="1"/>
  <c r="C140" i="1"/>
  <c r="E140" i="1"/>
  <c r="F140" i="1"/>
  <c r="H140" i="1"/>
  <c r="I140" i="1"/>
  <c r="J140" i="1"/>
  <c r="L140" i="1"/>
  <c r="M140" i="1"/>
  <c r="V140" i="1"/>
  <c r="AE140" i="1"/>
  <c r="C141" i="1"/>
  <c r="E141" i="1"/>
  <c r="F141" i="1"/>
  <c r="H141" i="1"/>
  <c r="I141" i="1"/>
  <c r="J141" i="1"/>
  <c r="L141" i="1"/>
  <c r="M141" i="1"/>
  <c r="V141" i="1"/>
  <c r="AE141" i="1"/>
  <c r="C142" i="1"/>
  <c r="E142" i="1"/>
  <c r="F142" i="1"/>
  <c r="H142" i="1"/>
  <c r="I142" i="1"/>
  <c r="J142" i="1"/>
  <c r="L142" i="1"/>
  <c r="M142" i="1"/>
  <c r="V142" i="1"/>
  <c r="AE142" i="1"/>
  <c r="C143" i="1"/>
  <c r="E143" i="1"/>
  <c r="F143" i="1"/>
  <c r="H143" i="1"/>
  <c r="I143" i="1"/>
  <c r="J143" i="1"/>
  <c r="L143" i="1"/>
  <c r="M143" i="1"/>
  <c r="V143" i="1"/>
  <c r="AE143" i="1"/>
  <c r="C144" i="1"/>
  <c r="E144" i="1"/>
  <c r="F144" i="1"/>
  <c r="H144" i="1"/>
  <c r="I144" i="1"/>
  <c r="J144" i="1"/>
  <c r="L144" i="1"/>
  <c r="M144" i="1"/>
  <c r="V144" i="1"/>
  <c r="AE144" i="1"/>
  <c r="C145" i="1"/>
  <c r="E145" i="1"/>
  <c r="F145" i="1"/>
  <c r="H145" i="1"/>
  <c r="I145" i="1"/>
  <c r="J145" i="1"/>
  <c r="L145" i="1"/>
  <c r="M145" i="1"/>
  <c r="V145" i="1"/>
  <c r="AE145" i="1"/>
  <c r="C146" i="1"/>
  <c r="E146" i="1"/>
  <c r="F146" i="1"/>
  <c r="H146" i="1"/>
  <c r="I146" i="1"/>
  <c r="J146" i="1"/>
  <c r="L146" i="1"/>
  <c r="M146" i="1"/>
  <c r="V146" i="1"/>
  <c r="AE146" i="1"/>
  <c r="C147" i="1"/>
  <c r="E147" i="1"/>
  <c r="F147" i="1"/>
  <c r="H147" i="1"/>
  <c r="I147" i="1"/>
  <c r="J147" i="1"/>
  <c r="L147" i="1"/>
  <c r="M147" i="1"/>
  <c r="V147" i="1"/>
  <c r="AE147" i="1"/>
  <c r="C148" i="1"/>
  <c r="E148" i="1"/>
  <c r="F148" i="1"/>
  <c r="H148" i="1"/>
  <c r="I148" i="1"/>
  <c r="J148" i="1"/>
  <c r="L148" i="1"/>
  <c r="M148" i="1"/>
  <c r="V148" i="1"/>
  <c r="AE148" i="1"/>
  <c r="C149" i="1"/>
  <c r="E149" i="1"/>
  <c r="F149" i="1"/>
  <c r="H149" i="1"/>
  <c r="I149" i="1"/>
  <c r="J149" i="1"/>
  <c r="L149" i="1"/>
  <c r="M149" i="1"/>
  <c r="V149" i="1"/>
  <c r="AE149" i="1"/>
  <c r="C150" i="1"/>
  <c r="E150" i="1"/>
  <c r="F150" i="1"/>
  <c r="H150" i="1"/>
  <c r="I150" i="1"/>
  <c r="J150" i="1"/>
  <c r="L150" i="1"/>
  <c r="M150" i="1"/>
  <c r="V150" i="1"/>
  <c r="AE150" i="1"/>
  <c r="C151" i="1"/>
  <c r="E151" i="1"/>
  <c r="F151" i="1"/>
  <c r="H151" i="1"/>
  <c r="I151" i="1"/>
  <c r="J151" i="1"/>
  <c r="L151" i="1"/>
  <c r="M151" i="1"/>
  <c r="V151" i="1"/>
  <c r="AE151" i="1"/>
  <c r="C152" i="1"/>
  <c r="E152" i="1"/>
  <c r="F152" i="1"/>
  <c r="H152" i="1"/>
  <c r="I152" i="1"/>
  <c r="J152" i="1"/>
  <c r="L152" i="1"/>
  <c r="M152" i="1"/>
  <c r="V152" i="1"/>
  <c r="AE152" i="1"/>
  <c r="C153" i="1"/>
  <c r="E153" i="1"/>
  <c r="F153" i="1"/>
  <c r="H153" i="1"/>
  <c r="I153" i="1"/>
  <c r="J153" i="1"/>
  <c r="L153" i="1"/>
  <c r="M153" i="1"/>
  <c r="V153" i="1"/>
  <c r="AE153" i="1"/>
  <c r="C154" i="1"/>
  <c r="E154" i="1"/>
  <c r="F154" i="1"/>
  <c r="H154" i="1"/>
  <c r="I154" i="1"/>
  <c r="J154" i="1"/>
  <c r="L154" i="1"/>
  <c r="M154" i="1"/>
  <c r="V154" i="1"/>
  <c r="AE154" i="1"/>
  <c r="C155" i="1"/>
  <c r="E155" i="1"/>
  <c r="F155" i="1"/>
  <c r="H155" i="1"/>
  <c r="I155" i="1"/>
  <c r="J155" i="1"/>
  <c r="L155" i="1"/>
  <c r="M155" i="1"/>
  <c r="V155" i="1"/>
  <c r="AE155" i="1"/>
  <c r="C156" i="1"/>
  <c r="E156" i="1"/>
  <c r="F156" i="1"/>
  <c r="H156" i="1"/>
  <c r="I156" i="1"/>
  <c r="J156" i="1"/>
  <c r="L156" i="1"/>
  <c r="M156" i="1"/>
  <c r="V156" i="1"/>
  <c r="AE156" i="1"/>
  <c r="C157" i="1"/>
  <c r="E157" i="1"/>
  <c r="F157" i="1"/>
  <c r="H157" i="1"/>
  <c r="I157" i="1"/>
  <c r="J157" i="1"/>
  <c r="L157" i="1"/>
  <c r="M157" i="1"/>
  <c r="V157" i="1"/>
  <c r="AE157" i="1"/>
  <c r="C158" i="1"/>
  <c r="E158" i="1"/>
  <c r="F158" i="1"/>
  <c r="H158" i="1"/>
  <c r="I158" i="1"/>
  <c r="J158" i="1"/>
  <c r="L158" i="1"/>
  <c r="M158" i="1"/>
  <c r="V158" i="1"/>
  <c r="AE158" i="1"/>
  <c r="C159" i="1"/>
  <c r="E159" i="1"/>
  <c r="F159" i="1"/>
  <c r="H159" i="1"/>
  <c r="I159" i="1"/>
  <c r="J159" i="1"/>
  <c r="L159" i="1"/>
  <c r="M159" i="1"/>
  <c r="V159" i="1"/>
  <c r="AE159" i="1"/>
  <c r="C160" i="1"/>
  <c r="E160" i="1"/>
  <c r="F160" i="1"/>
  <c r="H160" i="1"/>
  <c r="I160" i="1"/>
  <c r="J160" i="1"/>
  <c r="L160" i="1"/>
  <c r="M160" i="1"/>
  <c r="V160" i="1"/>
  <c r="AE160" i="1"/>
  <c r="C161" i="1"/>
  <c r="E161" i="1"/>
  <c r="F161" i="1"/>
  <c r="H161" i="1"/>
  <c r="I161" i="1"/>
  <c r="J161" i="1"/>
  <c r="L161" i="1"/>
  <c r="M161" i="1"/>
  <c r="V161" i="1"/>
  <c r="AE161" i="1"/>
  <c r="C162" i="1"/>
  <c r="E162" i="1"/>
  <c r="F162" i="1"/>
  <c r="H162" i="1"/>
  <c r="I162" i="1"/>
  <c r="J162" i="1"/>
  <c r="L162" i="1"/>
  <c r="M162" i="1"/>
  <c r="V162" i="1"/>
  <c r="AE162" i="1"/>
  <c r="C163" i="1"/>
  <c r="E163" i="1"/>
  <c r="F163" i="1"/>
  <c r="H163" i="1"/>
  <c r="I163" i="1"/>
  <c r="J163" i="1"/>
  <c r="L163" i="1"/>
  <c r="M163" i="1"/>
  <c r="V163" i="1"/>
  <c r="AE163" i="1"/>
  <c r="C164" i="1"/>
  <c r="E164" i="1"/>
  <c r="F164" i="1"/>
  <c r="H164" i="1"/>
  <c r="I164" i="1"/>
  <c r="J164" i="1"/>
  <c r="L164" i="1"/>
  <c r="M164" i="1"/>
  <c r="V164" i="1"/>
  <c r="AE164" i="1"/>
  <c r="C165" i="1"/>
  <c r="E165" i="1"/>
  <c r="F165" i="1"/>
  <c r="H165" i="1"/>
  <c r="I165" i="1"/>
  <c r="J165" i="1"/>
  <c r="L165" i="1"/>
  <c r="M165" i="1"/>
  <c r="V165" i="1"/>
  <c r="AE165" i="1"/>
  <c r="C166" i="1"/>
  <c r="E166" i="1"/>
  <c r="F166" i="1"/>
  <c r="H166" i="1"/>
  <c r="I166" i="1"/>
  <c r="J166" i="1"/>
  <c r="L166" i="1"/>
  <c r="M166" i="1"/>
  <c r="V166" i="1"/>
  <c r="AE166" i="1"/>
  <c r="C167" i="1"/>
  <c r="E167" i="1"/>
  <c r="F167" i="1"/>
  <c r="H167" i="1"/>
  <c r="I167" i="1"/>
  <c r="J167" i="1"/>
  <c r="L167" i="1"/>
  <c r="M167" i="1"/>
  <c r="V167" i="1"/>
  <c r="AE167" i="1"/>
  <c r="C168" i="1"/>
  <c r="E168" i="1"/>
  <c r="F168" i="1"/>
  <c r="H168" i="1"/>
  <c r="I168" i="1"/>
  <c r="J168" i="1"/>
  <c r="L168" i="1"/>
  <c r="M168" i="1"/>
  <c r="V168" i="1"/>
  <c r="AE168" i="1"/>
  <c r="C169" i="1"/>
  <c r="E169" i="1"/>
  <c r="F169" i="1"/>
  <c r="H169" i="1"/>
  <c r="I169" i="1"/>
  <c r="J169" i="1"/>
  <c r="L169" i="1"/>
  <c r="M169" i="1"/>
  <c r="V169" i="1"/>
  <c r="AE169" i="1"/>
  <c r="C170" i="1"/>
  <c r="E170" i="1"/>
  <c r="F170" i="1"/>
  <c r="H170" i="1"/>
  <c r="I170" i="1"/>
  <c r="J170" i="1"/>
  <c r="L170" i="1"/>
  <c r="M170" i="1"/>
  <c r="V170" i="1"/>
  <c r="AE170" i="1"/>
  <c r="C171" i="1"/>
  <c r="E171" i="1"/>
  <c r="F171" i="1"/>
  <c r="H171" i="1"/>
  <c r="I171" i="1"/>
  <c r="J171" i="1"/>
  <c r="L171" i="1"/>
  <c r="M171" i="1"/>
  <c r="V171" i="1"/>
  <c r="AE171" i="1"/>
  <c r="C172" i="1"/>
  <c r="E172" i="1"/>
  <c r="F172" i="1"/>
  <c r="H172" i="1"/>
  <c r="I172" i="1"/>
  <c r="J172" i="1"/>
  <c r="L172" i="1"/>
  <c r="M172" i="1"/>
  <c r="V172" i="1"/>
  <c r="AE172" i="1"/>
  <c r="C173" i="1"/>
  <c r="E173" i="1"/>
  <c r="F173" i="1"/>
  <c r="H173" i="1"/>
  <c r="I173" i="1"/>
  <c r="J173" i="1"/>
  <c r="L173" i="1"/>
  <c r="M173" i="1"/>
  <c r="V173" i="1"/>
  <c r="AE173" i="1"/>
  <c r="C174" i="1"/>
  <c r="E174" i="1"/>
  <c r="F174" i="1"/>
  <c r="H174" i="1"/>
  <c r="I174" i="1"/>
  <c r="J174" i="1"/>
  <c r="L174" i="1"/>
  <c r="M174" i="1"/>
  <c r="V174" i="1"/>
  <c r="AE174" i="1"/>
  <c r="C175" i="1"/>
  <c r="E175" i="1"/>
  <c r="F175" i="1"/>
  <c r="H175" i="1"/>
  <c r="I175" i="1"/>
  <c r="J175" i="1"/>
  <c r="L175" i="1"/>
  <c r="M175" i="1"/>
  <c r="V175" i="1"/>
  <c r="AE175" i="1"/>
  <c r="C176" i="1"/>
  <c r="E176" i="1"/>
  <c r="F176" i="1"/>
  <c r="H176" i="1"/>
  <c r="I176" i="1"/>
  <c r="J176" i="1"/>
  <c r="L176" i="1"/>
  <c r="M176" i="1"/>
  <c r="V176" i="1"/>
  <c r="AE176" i="1"/>
  <c r="C177" i="1"/>
  <c r="E177" i="1"/>
  <c r="F177" i="1"/>
  <c r="H177" i="1"/>
  <c r="I177" i="1"/>
  <c r="J177" i="1"/>
  <c r="L177" i="1"/>
  <c r="M177" i="1"/>
  <c r="V177" i="1"/>
  <c r="AE177" i="1"/>
  <c r="C178" i="1"/>
  <c r="E178" i="1"/>
  <c r="F178" i="1"/>
  <c r="H178" i="1"/>
  <c r="I178" i="1"/>
  <c r="J178" i="1"/>
  <c r="L178" i="1"/>
  <c r="M178" i="1"/>
  <c r="V178" i="1"/>
  <c r="AE178" i="1"/>
  <c r="C179" i="1"/>
  <c r="E179" i="1"/>
  <c r="F179" i="1"/>
  <c r="H179" i="1"/>
  <c r="I179" i="1"/>
  <c r="J179" i="1"/>
  <c r="L179" i="1"/>
  <c r="M179" i="1"/>
  <c r="V179" i="1"/>
  <c r="AE179" i="1"/>
  <c r="C180" i="1"/>
  <c r="E180" i="1"/>
  <c r="F180" i="1"/>
  <c r="H180" i="1"/>
  <c r="I180" i="1"/>
  <c r="J180" i="1"/>
  <c r="L180" i="1"/>
  <c r="M180" i="1"/>
  <c r="V180" i="1"/>
  <c r="AE180" i="1"/>
  <c r="C181" i="1"/>
  <c r="E181" i="1"/>
  <c r="F181" i="1"/>
  <c r="H181" i="1"/>
  <c r="I181" i="1"/>
  <c r="J181" i="1"/>
  <c r="L181" i="1"/>
  <c r="M181" i="1"/>
  <c r="V181" i="1"/>
  <c r="AE181" i="1"/>
  <c r="C182" i="1"/>
  <c r="E182" i="1"/>
  <c r="F182" i="1"/>
  <c r="H182" i="1"/>
  <c r="I182" i="1"/>
  <c r="J182" i="1"/>
  <c r="L182" i="1"/>
  <c r="M182" i="1"/>
  <c r="V182" i="1"/>
  <c r="AE182" i="1"/>
  <c r="C183" i="1"/>
  <c r="E183" i="1"/>
  <c r="F183" i="1"/>
  <c r="H183" i="1"/>
  <c r="I183" i="1"/>
  <c r="J183" i="1"/>
  <c r="L183" i="1"/>
  <c r="M183" i="1"/>
  <c r="V183" i="1"/>
  <c r="AE183" i="1"/>
  <c r="C184" i="1"/>
  <c r="E184" i="1"/>
  <c r="F184" i="1"/>
  <c r="H184" i="1"/>
  <c r="I184" i="1"/>
  <c r="J184" i="1"/>
  <c r="L184" i="1"/>
  <c r="M184" i="1"/>
  <c r="V184" i="1"/>
  <c r="AE184" i="1"/>
  <c r="C185" i="1"/>
  <c r="E185" i="1"/>
  <c r="F185" i="1"/>
  <c r="H185" i="1"/>
  <c r="I185" i="1"/>
  <c r="J185" i="1"/>
  <c r="L185" i="1"/>
  <c r="M185" i="1"/>
  <c r="V185" i="1"/>
  <c r="AE185" i="1"/>
  <c r="C186" i="1"/>
  <c r="E186" i="1"/>
  <c r="F186" i="1"/>
  <c r="H186" i="1"/>
  <c r="I186" i="1"/>
  <c r="J186" i="1"/>
  <c r="L186" i="1"/>
  <c r="M186" i="1"/>
  <c r="V186" i="1"/>
  <c r="AE186" i="1"/>
  <c r="C187" i="1"/>
  <c r="E187" i="1"/>
  <c r="F187" i="1"/>
  <c r="H187" i="1"/>
  <c r="I187" i="1"/>
  <c r="J187" i="1"/>
  <c r="L187" i="1"/>
  <c r="M187" i="1"/>
  <c r="V187" i="1"/>
  <c r="AE187" i="1"/>
  <c r="C188" i="1"/>
  <c r="E188" i="1"/>
  <c r="F188" i="1"/>
  <c r="H188" i="1"/>
  <c r="I188" i="1"/>
  <c r="J188" i="1"/>
  <c r="L188" i="1"/>
  <c r="M188" i="1"/>
  <c r="V188" i="1"/>
  <c r="AE188" i="1"/>
  <c r="C189" i="1"/>
  <c r="E189" i="1"/>
  <c r="F189" i="1"/>
  <c r="H189" i="1"/>
  <c r="I189" i="1"/>
  <c r="J189" i="1"/>
  <c r="L189" i="1"/>
  <c r="M189" i="1"/>
  <c r="V189" i="1"/>
  <c r="AE189" i="1"/>
  <c r="C190" i="1"/>
  <c r="E190" i="1"/>
  <c r="F190" i="1"/>
  <c r="H190" i="1"/>
  <c r="I190" i="1"/>
  <c r="J190" i="1"/>
  <c r="L190" i="1"/>
  <c r="M190" i="1"/>
  <c r="V190" i="1"/>
  <c r="AE190" i="1"/>
  <c r="C191" i="1"/>
  <c r="E191" i="1"/>
  <c r="F191" i="1"/>
  <c r="H191" i="1"/>
  <c r="I191" i="1"/>
  <c r="J191" i="1"/>
  <c r="L191" i="1"/>
  <c r="M191" i="1"/>
  <c r="V191" i="1"/>
  <c r="AE191" i="1"/>
  <c r="C192" i="1"/>
  <c r="E192" i="1"/>
  <c r="F192" i="1"/>
  <c r="H192" i="1"/>
  <c r="I192" i="1"/>
  <c r="J192" i="1"/>
  <c r="L192" i="1"/>
  <c r="M192" i="1"/>
  <c r="V192" i="1"/>
  <c r="AE192" i="1"/>
  <c r="C193" i="1"/>
  <c r="E193" i="1"/>
  <c r="F193" i="1"/>
  <c r="H193" i="1"/>
  <c r="I193" i="1"/>
  <c r="J193" i="1"/>
  <c r="L193" i="1"/>
  <c r="M193" i="1"/>
  <c r="V193" i="1"/>
  <c r="AE193" i="1"/>
  <c r="C194" i="1"/>
  <c r="E194" i="1"/>
  <c r="F194" i="1"/>
  <c r="H194" i="1"/>
  <c r="I194" i="1"/>
  <c r="J194" i="1"/>
  <c r="L194" i="1"/>
  <c r="M194" i="1"/>
  <c r="V194" i="1"/>
  <c r="AE194" i="1"/>
  <c r="C195" i="1"/>
  <c r="E195" i="1"/>
  <c r="F195" i="1"/>
  <c r="H195" i="1"/>
  <c r="I195" i="1"/>
  <c r="J195" i="1"/>
  <c r="L195" i="1"/>
  <c r="M195" i="1"/>
  <c r="V195" i="1"/>
  <c r="AE195" i="1"/>
  <c r="C196" i="1"/>
  <c r="E196" i="1"/>
  <c r="F196" i="1"/>
  <c r="H196" i="1"/>
  <c r="I196" i="1"/>
  <c r="J196" i="1"/>
  <c r="L196" i="1"/>
  <c r="M196" i="1"/>
  <c r="V196" i="1"/>
  <c r="AE196" i="1"/>
  <c r="C197" i="1"/>
  <c r="E197" i="1"/>
  <c r="F197" i="1"/>
  <c r="H197" i="1"/>
  <c r="I197" i="1"/>
  <c r="J197" i="1"/>
  <c r="L197" i="1"/>
  <c r="M197" i="1"/>
  <c r="V197" i="1"/>
  <c r="AE197" i="1"/>
  <c r="C198" i="1"/>
  <c r="E198" i="1"/>
  <c r="F198" i="1"/>
  <c r="H198" i="1"/>
  <c r="I198" i="1"/>
  <c r="J198" i="1"/>
  <c r="L198" i="1"/>
  <c r="M198" i="1"/>
  <c r="V198" i="1"/>
  <c r="AE198" i="1"/>
  <c r="C199" i="1"/>
  <c r="E199" i="1"/>
  <c r="F199" i="1"/>
  <c r="H199" i="1"/>
  <c r="I199" i="1"/>
  <c r="J199" i="1"/>
  <c r="L199" i="1"/>
  <c r="M199" i="1"/>
  <c r="V199" i="1"/>
  <c r="AE199" i="1"/>
  <c r="C200" i="1"/>
  <c r="E200" i="1"/>
  <c r="F200" i="1"/>
  <c r="H200" i="1"/>
  <c r="I200" i="1"/>
  <c r="J200" i="1"/>
  <c r="L200" i="1"/>
  <c r="M200" i="1"/>
  <c r="V200" i="1"/>
  <c r="AE200" i="1"/>
  <c r="C201" i="1"/>
  <c r="E201" i="1"/>
  <c r="F201" i="1"/>
  <c r="H201" i="1"/>
  <c r="I201" i="1"/>
  <c r="J201" i="1"/>
  <c r="L201" i="1"/>
  <c r="M201" i="1"/>
  <c r="V201" i="1"/>
  <c r="AE201" i="1"/>
  <c r="C202" i="1"/>
  <c r="E202" i="1"/>
  <c r="F202" i="1"/>
  <c r="H202" i="1"/>
  <c r="I202" i="1"/>
  <c r="J202" i="1"/>
  <c r="L202" i="1"/>
  <c r="M202" i="1"/>
  <c r="V202" i="1"/>
  <c r="AE202" i="1"/>
  <c r="C203" i="1"/>
  <c r="E203" i="1"/>
  <c r="F203" i="1"/>
  <c r="H203" i="1"/>
  <c r="I203" i="1"/>
  <c r="J203" i="1"/>
  <c r="L203" i="1"/>
  <c r="M203" i="1"/>
  <c r="V203" i="1"/>
  <c r="AE203" i="1"/>
  <c r="C204" i="1"/>
  <c r="E204" i="1"/>
  <c r="F204" i="1"/>
  <c r="H204" i="1"/>
  <c r="I204" i="1"/>
  <c r="J204" i="1"/>
  <c r="L204" i="1"/>
  <c r="M204" i="1"/>
  <c r="V204" i="1"/>
  <c r="AE204" i="1"/>
  <c r="C205" i="1"/>
  <c r="E205" i="1"/>
  <c r="F205" i="1"/>
  <c r="H205" i="1"/>
  <c r="I205" i="1"/>
  <c r="J205" i="1"/>
  <c r="L205" i="1"/>
  <c r="M205" i="1"/>
  <c r="V205" i="1"/>
  <c r="AE205" i="1"/>
  <c r="C206" i="1"/>
  <c r="E206" i="1"/>
  <c r="F206" i="1"/>
  <c r="H206" i="1"/>
  <c r="I206" i="1"/>
  <c r="J206" i="1"/>
  <c r="L206" i="1"/>
  <c r="M206" i="1"/>
  <c r="V206" i="1"/>
  <c r="AE206" i="1"/>
  <c r="C207" i="1"/>
  <c r="E207" i="1"/>
  <c r="F207" i="1"/>
  <c r="H207" i="1"/>
  <c r="I207" i="1"/>
  <c r="J207" i="1"/>
  <c r="L207" i="1"/>
  <c r="M207" i="1"/>
  <c r="V207" i="1"/>
  <c r="AE207" i="1"/>
  <c r="C208" i="1"/>
  <c r="E208" i="1"/>
  <c r="F208" i="1"/>
  <c r="H208" i="1"/>
  <c r="I208" i="1"/>
  <c r="J208" i="1"/>
  <c r="L208" i="1"/>
  <c r="M208" i="1"/>
  <c r="V208" i="1"/>
  <c r="AE208" i="1"/>
  <c r="C209" i="1"/>
  <c r="E209" i="1"/>
  <c r="F209" i="1"/>
  <c r="H209" i="1"/>
  <c r="I209" i="1"/>
  <c r="J209" i="1"/>
  <c r="L209" i="1"/>
  <c r="M209" i="1"/>
  <c r="V209" i="1"/>
  <c r="AE209" i="1"/>
  <c r="C210" i="1"/>
  <c r="E210" i="1"/>
  <c r="F210" i="1"/>
  <c r="H210" i="1"/>
  <c r="I210" i="1"/>
  <c r="J210" i="1"/>
  <c r="L210" i="1"/>
  <c r="M210" i="1"/>
  <c r="V210" i="1"/>
  <c r="AE210" i="1"/>
  <c r="C211" i="1"/>
  <c r="E211" i="1"/>
  <c r="F211" i="1"/>
  <c r="H211" i="1"/>
  <c r="I211" i="1"/>
  <c r="J211" i="1"/>
  <c r="L211" i="1"/>
  <c r="M211" i="1"/>
  <c r="V211" i="1"/>
  <c r="AE211" i="1"/>
  <c r="C212" i="1"/>
  <c r="E212" i="1"/>
  <c r="F212" i="1"/>
  <c r="H212" i="1"/>
  <c r="I212" i="1"/>
  <c r="J212" i="1"/>
  <c r="L212" i="1"/>
  <c r="M212" i="1"/>
  <c r="V212" i="1"/>
  <c r="AE212" i="1"/>
  <c r="C213" i="1"/>
  <c r="E213" i="1"/>
  <c r="F213" i="1"/>
  <c r="H213" i="1"/>
  <c r="I213" i="1"/>
  <c r="J213" i="1"/>
  <c r="L213" i="1"/>
  <c r="M213" i="1"/>
  <c r="V213" i="1"/>
  <c r="AE213" i="1"/>
  <c r="C214" i="1"/>
  <c r="E214" i="1"/>
  <c r="F214" i="1"/>
  <c r="H214" i="1"/>
  <c r="I214" i="1"/>
  <c r="J214" i="1"/>
  <c r="L214" i="1"/>
  <c r="M214" i="1"/>
  <c r="V214" i="1"/>
  <c r="AE214" i="1"/>
  <c r="C215" i="1"/>
  <c r="E215" i="1"/>
  <c r="F215" i="1"/>
  <c r="H215" i="1"/>
  <c r="I215" i="1"/>
  <c r="J215" i="1"/>
  <c r="L215" i="1"/>
  <c r="M215" i="1"/>
  <c r="V215" i="1"/>
  <c r="AE215" i="1"/>
  <c r="C216" i="1"/>
  <c r="E216" i="1"/>
  <c r="F216" i="1"/>
  <c r="H216" i="1"/>
  <c r="I216" i="1"/>
  <c r="J216" i="1"/>
  <c r="L216" i="1"/>
  <c r="M216" i="1"/>
  <c r="V216" i="1"/>
  <c r="AE216" i="1"/>
  <c r="C217" i="1"/>
  <c r="E217" i="1"/>
  <c r="F217" i="1"/>
  <c r="H217" i="1"/>
  <c r="I217" i="1"/>
  <c r="J217" i="1"/>
  <c r="L217" i="1"/>
  <c r="M217" i="1"/>
  <c r="V217" i="1"/>
  <c r="AE217" i="1"/>
  <c r="C218" i="1"/>
  <c r="E218" i="1"/>
  <c r="F218" i="1"/>
  <c r="H218" i="1"/>
  <c r="I218" i="1"/>
  <c r="J218" i="1"/>
  <c r="L218" i="1"/>
  <c r="M218" i="1"/>
  <c r="V218" i="1"/>
  <c r="AE218" i="1"/>
  <c r="C219" i="1"/>
  <c r="E219" i="1"/>
  <c r="F219" i="1"/>
  <c r="H219" i="1"/>
  <c r="I219" i="1"/>
  <c r="J219" i="1"/>
  <c r="L219" i="1"/>
  <c r="M219" i="1"/>
  <c r="V219" i="1"/>
  <c r="AE219" i="1"/>
  <c r="C220" i="1"/>
  <c r="E220" i="1"/>
  <c r="F220" i="1"/>
  <c r="H220" i="1"/>
  <c r="I220" i="1"/>
  <c r="J220" i="1"/>
  <c r="L220" i="1"/>
  <c r="M220" i="1"/>
  <c r="V220" i="1"/>
  <c r="AE220" i="1"/>
  <c r="C221" i="1"/>
  <c r="E221" i="1"/>
  <c r="F221" i="1"/>
  <c r="H221" i="1"/>
  <c r="I221" i="1"/>
  <c r="J221" i="1"/>
  <c r="L221" i="1"/>
  <c r="M221" i="1"/>
  <c r="V221" i="1"/>
  <c r="AE221" i="1"/>
  <c r="C222" i="1"/>
  <c r="E222" i="1"/>
  <c r="F222" i="1"/>
  <c r="H222" i="1"/>
  <c r="I222" i="1"/>
  <c r="J222" i="1"/>
  <c r="L222" i="1"/>
  <c r="M222" i="1"/>
  <c r="V222" i="1"/>
  <c r="AE222" i="1"/>
  <c r="C223" i="1"/>
  <c r="E223" i="1"/>
  <c r="F223" i="1"/>
  <c r="H223" i="1"/>
  <c r="I223" i="1"/>
  <c r="J223" i="1"/>
  <c r="L223" i="1"/>
  <c r="M223" i="1"/>
  <c r="V223" i="1"/>
  <c r="AE223" i="1"/>
  <c r="C224" i="1"/>
  <c r="E224" i="1"/>
  <c r="F224" i="1"/>
  <c r="H224" i="1"/>
  <c r="I224" i="1"/>
  <c r="J224" i="1"/>
  <c r="L224" i="1"/>
  <c r="M224" i="1"/>
  <c r="V224" i="1"/>
  <c r="AE224" i="1"/>
  <c r="C225" i="1"/>
  <c r="E225" i="1"/>
  <c r="F225" i="1"/>
  <c r="H225" i="1"/>
  <c r="I225" i="1"/>
  <c r="J225" i="1"/>
  <c r="L225" i="1"/>
  <c r="M225" i="1"/>
  <c r="V225" i="1"/>
  <c r="AE225" i="1"/>
  <c r="C226" i="1"/>
  <c r="E226" i="1"/>
  <c r="F226" i="1"/>
  <c r="H226" i="1"/>
  <c r="I226" i="1"/>
  <c r="J226" i="1"/>
  <c r="L226" i="1"/>
  <c r="M226" i="1"/>
  <c r="V226" i="1"/>
  <c r="AE226" i="1"/>
  <c r="C227" i="1"/>
  <c r="E227" i="1"/>
  <c r="F227" i="1"/>
  <c r="H227" i="1"/>
  <c r="I227" i="1"/>
  <c r="J227" i="1"/>
  <c r="L227" i="1"/>
  <c r="M227" i="1"/>
  <c r="V227" i="1"/>
  <c r="AE227" i="1"/>
  <c r="C228" i="1"/>
  <c r="E228" i="1"/>
  <c r="F228" i="1"/>
  <c r="H228" i="1"/>
  <c r="I228" i="1"/>
  <c r="J228" i="1"/>
  <c r="L228" i="1"/>
  <c r="M228" i="1"/>
  <c r="V228" i="1"/>
  <c r="AE228" i="1"/>
  <c r="C229" i="1"/>
  <c r="E229" i="1"/>
  <c r="F229" i="1"/>
  <c r="H229" i="1"/>
  <c r="I229" i="1"/>
  <c r="J229" i="1"/>
  <c r="L229" i="1"/>
  <c r="M229" i="1"/>
  <c r="V229" i="1"/>
  <c r="AE229" i="1"/>
  <c r="C230" i="1"/>
  <c r="E230" i="1"/>
  <c r="F230" i="1"/>
  <c r="H230" i="1"/>
  <c r="I230" i="1"/>
  <c r="J230" i="1"/>
  <c r="L230" i="1"/>
  <c r="M230" i="1"/>
  <c r="V230" i="1"/>
  <c r="AE230" i="1"/>
  <c r="C231" i="1"/>
  <c r="E231" i="1"/>
  <c r="F231" i="1"/>
  <c r="H231" i="1"/>
  <c r="I231" i="1"/>
  <c r="J231" i="1"/>
  <c r="L231" i="1"/>
  <c r="M231" i="1"/>
  <c r="V231" i="1"/>
  <c r="AE231" i="1"/>
  <c r="C232" i="1"/>
  <c r="E232" i="1"/>
  <c r="F232" i="1"/>
  <c r="H232" i="1"/>
  <c r="I232" i="1"/>
  <c r="J232" i="1"/>
  <c r="L232" i="1"/>
  <c r="M232" i="1"/>
  <c r="V232" i="1"/>
  <c r="AE232" i="1"/>
  <c r="C233" i="1"/>
  <c r="E233" i="1"/>
  <c r="F233" i="1"/>
  <c r="H233" i="1"/>
  <c r="I233" i="1"/>
  <c r="J233" i="1"/>
  <c r="L233" i="1"/>
  <c r="M233" i="1"/>
  <c r="V233" i="1"/>
  <c r="AE233" i="1"/>
  <c r="C234" i="1"/>
  <c r="E234" i="1"/>
  <c r="F234" i="1"/>
  <c r="H234" i="1"/>
  <c r="I234" i="1"/>
  <c r="J234" i="1"/>
  <c r="L234" i="1"/>
  <c r="M234" i="1"/>
  <c r="V234" i="1"/>
  <c r="AE234" i="1"/>
  <c r="C235" i="1"/>
  <c r="E235" i="1"/>
  <c r="F235" i="1"/>
  <c r="H235" i="1"/>
  <c r="I235" i="1"/>
  <c r="J235" i="1"/>
  <c r="L235" i="1"/>
  <c r="M235" i="1"/>
  <c r="V235" i="1"/>
  <c r="AE235" i="1"/>
  <c r="C236" i="1"/>
  <c r="E236" i="1"/>
  <c r="F236" i="1"/>
  <c r="H236" i="1"/>
  <c r="I236" i="1"/>
  <c r="J236" i="1"/>
  <c r="L236" i="1"/>
  <c r="M236" i="1"/>
  <c r="V236" i="1"/>
  <c r="AE236" i="1"/>
  <c r="C237" i="1"/>
  <c r="E237" i="1"/>
  <c r="F237" i="1"/>
  <c r="H237" i="1"/>
  <c r="I237" i="1"/>
  <c r="J237" i="1"/>
  <c r="L237" i="1"/>
  <c r="M237" i="1"/>
  <c r="V237" i="1"/>
  <c r="AE237" i="1"/>
  <c r="C238" i="1"/>
  <c r="E238" i="1"/>
  <c r="F238" i="1"/>
  <c r="H238" i="1"/>
  <c r="I238" i="1"/>
  <c r="J238" i="1"/>
  <c r="L238" i="1"/>
  <c r="M238" i="1"/>
  <c r="V238" i="1"/>
  <c r="AE238" i="1"/>
  <c r="C239" i="1"/>
  <c r="E239" i="1"/>
  <c r="F239" i="1"/>
  <c r="H239" i="1"/>
  <c r="I239" i="1"/>
  <c r="J239" i="1"/>
  <c r="L239" i="1"/>
  <c r="M239" i="1"/>
  <c r="V239" i="1"/>
  <c r="AE239" i="1"/>
  <c r="C240" i="1"/>
  <c r="E240" i="1"/>
  <c r="F240" i="1"/>
  <c r="H240" i="1"/>
  <c r="I240" i="1"/>
  <c r="J240" i="1"/>
  <c r="L240" i="1"/>
  <c r="M240" i="1"/>
  <c r="V240" i="1"/>
  <c r="AE240" i="1"/>
  <c r="C241" i="1"/>
  <c r="E241" i="1"/>
  <c r="F241" i="1"/>
  <c r="H241" i="1"/>
  <c r="I241" i="1"/>
  <c r="J241" i="1"/>
  <c r="L241" i="1"/>
  <c r="M241" i="1"/>
  <c r="V241" i="1"/>
  <c r="AE241" i="1"/>
  <c r="C242" i="1"/>
  <c r="E242" i="1"/>
  <c r="F242" i="1"/>
  <c r="H242" i="1"/>
  <c r="I242" i="1"/>
  <c r="J242" i="1"/>
  <c r="L242" i="1"/>
  <c r="M242" i="1"/>
  <c r="V242" i="1"/>
  <c r="AE242" i="1"/>
  <c r="C243" i="1"/>
  <c r="E243" i="1"/>
  <c r="F243" i="1"/>
  <c r="H243" i="1"/>
  <c r="I243" i="1"/>
  <c r="J243" i="1"/>
  <c r="L243" i="1"/>
  <c r="M243" i="1"/>
  <c r="V243" i="1"/>
  <c r="AE243" i="1"/>
  <c r="C244" i="1"/>
  <c r="E244" i="1"/>
  <c r="F244" i="1"/>
  <c r="H244" i="1"/>
  <c r="I244" i="1"/>
  <c r="J244" i="1"/>
  <c r="L244" i="1"/>
  <c r="M244" i="1"/>
  <c r="V244" i="1"/>
  <c r="AE244" i="1"/>
  <c r="C245" i="1"/>
  <c r="E245" i="1"/>
  <c r="F245" i="1"/>
  <c r="H245" i="1"/>
  <c r="I245" i="1"/>
  <c r="J245" i="1"/>
  <c r="L245" i="1"/>
  <c r="M245" i="1"/>
  <c r="V245" i="1"/>
  <c r="AE245" i="1"/>
  <c r="C246" i="1"/>
  <c r="E246" i="1"/>
  <c r="F246" i="1"/>
  <c r="H246" i="1"/>
  <c r="I246" i="1"/>
  <c r="J246" i="1"/>
  <c r="L246" i="1"/>
  <c r="M246" i="1"/>
  <c r="V246" i="1"/>
  <c r="AE246" i="1"/>
  <c r="C247" i="1"/>
  <c r="E247" i="1"/>
  <c r="F247" i="1"/>
  <c r="H247" i="1"/>
  <c r="I247" i="1"/>
  <c r="J247" i="1"/>
  <c r="L247" i="1"/>
  <c r="M247" i="1"/>
  <c r="V247" i="1"/>
  <c r="AE247" i="1"/>
  <c r="C248" i="1"/>
  <c r="E248" i="1"/>
  <c r="F248" i="1"/>
  <c r="H248" i="1"/>
  <c r="I248" i="1"/>
  <c r="J248" i="1"/>
  <c r="L248" i="1"/>
  <c r="M248" i="1"/>
  <c r="V248" i="1"/>
  <c r="AE248" i="1"/>
  <c r="C249" i="1"/>
  <c r="E249" i="1"/>
  <c r="F249" i="1"/>
  <c r="H249" i="1"/>
  <c r="I249" i="1"/>
  <c r="J249" i="1"/>
  <c r="L249" i="1"/>
  <c r="M249" i="1"/>
  <c r="V249" i="1"/>
  <c r="AE249" i="1"/>
  <c r="C250" i="1"/>
  <c r="E250" i="1"/>
  <c r="F250" i="1"/>
  <c r="H250" i="1"/>
  <c r="I250" i="1"/>
  <c r="J250" i="1"/>
  <c r="L250" i="1"/>
  <c r="M250" i="1"/>
  <c r="V250" i="1"/>
  <c r="AE250" i="1"/>
  <c r="C251" i="1"/>
  <c r="E251" i="1"/>
  <c r="F251" i="1"/>
  <c r="H251" i="1"/>
  <c r="I251" i="1"/>
  <c r="J251" i="1"/>
  <c r="L251" i="1"/>
  <c r="M251" i="1"/>
  <c r="V251" i="1"/>
  <c r="AE251" i="1"/>
  <c r="C252" i="1"/>
  <c r="E252" i="1"/>
  <c r="F252" i="1"/>
  <c r="H252" i="1"/>
  <c r="I252" i="1"/>
  <c r="J252" i="1"/>
  <c r="L252" i="1"/>
  <c r="M252" i="1"/>
  <c r="V252" i="1"/>
  <c r="AE252" i="1"/>
  <c r="C253" i="1"/>
  <c r="E253" i="1"/>
  <c r="F253" i="1"/>
  <c r="H253" i="1"/>
  <c r="I253" i="1"/>
  <c r="J253" i="1"/>
  <c r="L253" i="1"/>
  <c r="M253" i="1"/>
  <c r="V253" i="1"/>
  <c r="AE253" i="1"/>
  <c r="C254" i="1"/>
  <c r="E254" i="1"/>
  <c r="F254" i="1"/>
  <c r="H254" i="1"/>
  <c r="I254" i="1"/>
  <c r="J254" i="1"/>
  <c r="L254" i="1"/>
  <c r="M254" i="1"/>
  <c r="V254" i="1"/>
  <c r="AE254" i="1"/>
  <c r="C255" i="1"/>
  <c r="E255" i="1"/>
  <c r="F255" i="1"/>
  <c r="H255" i="1"/>
  <c r="I255" i="1"/>
  <c r="J255" i="1"/>
  <c r="L255" i="1"/>
  <c r="M255" i="1"/>
  <c r="V255" i="1"/>
  <c r="AE255" i="1"/>
  <c r="C256" i="1"/>
  <c r="E256" i="1"/>
  <c r="F256" i="1"/>
  <c r="H256" i="1"/>
  <c r="I256" i="1"/>
  <c r="J256" i="1"/>
  <c r="L256" i="1"/>
  <c r="M256" i="1"/>
  <c r="V256" i="1"/>
  <c r="AE256" i="1"/>
  <c r="C257" i="1"/>
  <c r="E257" i="1"/>
  <c r="F257" i="1"/>
  <c r="H257" i="1"/>
  <c r="I257" i="1"/>
  <c r="J257" i="1"/>
  <c r="L257" i="1"/>
  <c r="M257" i="1"/>
  <c r="V257" i="1"/>
  <c r="AE257" i="1"/>
  <c r="C258" i="1"/>
  <c r="E258" i="1"/>
  <c r="F258" i="1"/>
  <c r="H258" i="1"/>
  <c r="I258" i="1"/>
  <c r="J258" i="1"/>
  <c r="L258" i="1"/>
  <c r="M258" i="1"/>
  <c r="V258" i="1"/>
  <c r="AE258" i="1"/>
  <c r="C259" i="1"/>
  <c r="E259" i="1"/>
  <c r="F259" i="1"/>
  <c r="H259" i="1"/>
  <c r="I259" i="1"/>
  <c r="J259" i="1"/>
  <c r="L259" i="1"/>
  <c r="M259" i="1"/>
  <c r="V259" i="1"/>
  <c r="AE259" i="1"/>
  <c r="C260" i="1"/>
  <c r="E260" i="1"/>
  <c r="F260" i="1"/>
  <c r="H260" i="1"/>
  <c r="I260" i="1"/>
  <c r="J260" i="1"/>
  <c r="L260" i="1"/>
  <c r="M260" i="1"/>
  <c r="V260" i="1"/>
  <c r="AE260" i="1"/>
  <c r="C261" i="1"/>
  <c r="E261" i="1"/>
  <c r="F261" i="1"/>
  <c r="H261" i="1"/>
  <c r="I261" i="1"/>
  <c r="J261" i="1"/>
  <c r="L261" i="1"/>
  <c r="M261" i="1"/>
  <c r="V261" i="1"/>
  <c r="AE261" i="1"/>
  <c r="C262" i="1"/>
  <c r="E262" i="1"/>
  <c r="F262" i="1"/>
  <c r="H262" i="1"/>
  <c r="I262" i="1"/>
  <c r="J262" i="1"/>
  <c r="L262" i="1"/>
  <c r="M262" i="1"/>
  <c r="V262" i="1"/>
  <c r="AE262" i="1"/>
  <c r="C263" i="1"/>
  <c r="E263" i="1"/>
  <c r="F263" i="1"/>
  <c r="H263" i="1"/>
  <c r="I263" i="1"/>
  <c r="J263" i="1"/>
  <c r="L263" i="1"/>
  <c r="M263" i="1"/>
  <c r="V263" i="1"/>
  <c r="AE263" i="1"/>
  <c r="C264" i="1"/>
  <c r="E264" i="1"/>
  <c r="F264" i="1"/>
  <c r="H264" i="1"/>
  <c r="I264" i="1"/>
  <c r="J264" i="1"/>
  <c r="L264" i="1"/>
  <c r="M264" i="1"/>
  <c r="V264" i="1"/>
  <c r="AE264" i="1"/>
  <c r="C265" i="1"/>
  <c r="E265" i="1"/>
  <c r="F265" i="1"/>
  <c r="H265" i="1"/>
  <c r="I265" i="1"/>
  <c r="J265" i="1"/>
  <c r="L265" i="1"/>
  <c r="M265" i="1"/>
  <c r="V265" i="1"/>
  <c r="AE265" i="1"/>
  <c r="C266" i="1"/>
  <c r="E266" i="1"/>
  <c r="F266" i="1"/>
  <c r="H266" i="1"/>
  <c r="I266" i="1"/>
  <c r="J266" i="1"/>
  <c r="L266" i="1"/>
  <c r="M266" i="1"/>
  <c r="V266" i="1"/>
  <c r="AE266" i="1"/>
  <c r="C267" i="1"/>
  <c r="E267" i="1"/>
  <c r="F267" i="1"/>
  <c r="H267" i="1"/>
  <c r="I267" i="1"/>
  <c r="J267" i="1"/>
  <c r="L267" i="1"/>
  <c r="M267" i="1"/>
  <c r="V267" i="1"/>
  <c r="AE267" i="1"/>
  <c r="C268" i="1"/>
  <c r="E268" i="1"/>
  <c r="F268" i="1"/>
  <c r="H268" i="1"/>
  <c r="I268" i="1"/>
  <c r="J268" i="1"/>
  <c r="L268" i="1"/>
  <c r="M268" i="1"/>
  <c r="V268" i="1"/>
  <c r="AE268" i="1"/>
  <c r="C269" i="1"/>
  <c r="E269" i="1"/>
  <c r="F269" i="1"/>
  <c r="H269" i="1"/>
  <c r="I269" i="1"/>
  <c r="J269" i="1"/>
  <c r="L269" i="1"/>
  <c r="M269" i="1"/>
  <c r="V269" i="1"/>
  <c r="AE269" i="1"/>
  <c r="C270" i="1"/>
  <c r="E270" i="1"/>
  <c r="F270" i="1"/>
  <c r="H270" i="1"/>
  <c r="I270" i="1"/>
  <c r="J270" i="1"/>
  <c r="L270" i="1"/>
  <c r="M270" i="1"/>
  <c r="V270" i="1"/>
  <c r="AE270" i="1"/>
  <c r="C271" i="1"/>
  <c r="E271" i="1"/>
  <c r="F271" i="1"/>
  <c r="H271" i="1"/>
  <c r="I271" i="1"/>
  <c r="J271" i="1"/>
  <c r="L271" i="1"/>
  <c r="M271" i="1"/>
  <c r="V271" i="1"/>
  <c r="AE271" i="1"/>
  <c r="C272" i="1"/>
  <c r="E272" i="1"/>
  <c r="F272" i="1"/>
  <c r="H272" i="1"/>
  <c r="I272" i="1"/>
  <c r="J272" i="1"/>
  <c r="L272" i="1"/>
  <c r="M272" i="1"/>
  <c r="V272" i="1"/>
  <c r="AE272" i="1"/>
  <c r="C273" i="1"/>
  <c r="E273" i="1"/>
  <c r="F273" i="1"/>
  <c r="H273" i="1"/>
  <c r="I273" i="1"/>
  <c r="J273" i="1"/>
  <c r="L273" i="1"/>
  <c r="M273" i="1"/>
  <c r="V273" i="1"/>
  <c r="AE273" i="1"/>
  <c r="C274" i="1"/>
  <c r="E274" i="1"/>
  <c r="F274" i="1"/>
  <c r="H274" i="1"/>
  <c r="I274" i="1"/>
  <c r="J274" i="1"/>
  <c r="L274" i="1"/>
  <c r="M274" i="1"/>
  <c r="V274" i="1"/>
  <c r="AE274" i="1"/>
  <c r="C275" i="1"/>
  <c r="E275" i="1"/>
  <c r="F275" i="1"/>
  <c r="H275" i="1"/>
  <c r="I275" i="1"/>
  <c r="J275" i="1"/>
  <c r="L275" i="1"/>
  <c r="M275" i="1"/>
  <c r="V275" i="1"/>
  <c r="AE275" i="1"/>
  <c r="C276" i="1"/>
  <c r="E276" i="1"/>
  <c r="F276" i="1"/>
  <c r="H276" i="1"/>
  <c r="I276" i="1"/>
  <c r="J276" i="1"/>
  <c r="L276" i="1"/>
  <c r="M276" i="1"/>
  <c r="V276" i="1"/>
  <c r="AE276" i="1"/>
  <c r="C277" i="1"/>
  <c r="E277" i="1"/>
  <c r="F277" i="1"/>
  <c r="H277" i="1"/>
  <c r="I277" i="1"/>
  <c r="J277" i="1"/>
  <c r="L277" i="1"/>
  <c r="M277" i="1"/>
  <c r="V277" i="1"/>
  <c r="AE277" i="1"/>
  <c r="C278" i="1"/>
  <c r="E278" i="1"/>
  <c r="F278" i="1"/>
  <c r="H278" i="1"/>
  <c r="I278" i="1"/>
  <c r="J278" i="1"/>
  <c r="L278" i="1"/>
  <c r="M278" i="1"/>
  <c r="V278" i="1"/>
  <c r="AE278" i="1"/>
  <c r="C279" i="1"/>
  <c r="E279" i="1"/>
  <c r="F279" i="1"/>
  <c r="H279" i="1"/>
  <c r="I279" i="1"/>
  <c r="J279" i="1"/>
  <c r="L279" i="1"/>
  <c r="M279" i="1"/>
  <c r="V279" i="1"/>
  <c r="AE279" i="1"/>
  <c r="C280" i="1"/>
  <c r="E280" i="1"/>
  <c r="F280" i="1"/>
  <c r="H280" i="1"/>
  <c r="I280" i="1"/>
  <c r="J280" i="1"/>
  <c r="L280" i="1"/>
  <c r="M280" i="1"/>
  <c r="V280" i="1"/>
  <c r="AE280" i="1"/>
  <c r="C281" i="1"/>
  <c r="E281" i="1"/>
  <c r="F281" i="1"/>
  <c r="H281" i="1"/>
  <c r="I281" i="1"/>
  <c r="J281" i="1"/>
  <c r="L281" i="1"/>
  <c r="M281" i="1"/>
  <c r="V281" i="1"/>
  <c r="AE281" i="1"/>
  <c r="C282" i="1"/>
  <c r="E282" i="1"/>
  <c r="F282" i="1"/>
  <c r="H282" i="1"/>
  <c r="I282" i="1"/>
  <c r="J282" i="1"/>
  <c r="L282" i="1"/>
  <c r="M282" i="1"/>
  <c r="V282" i="1"/>
  <c r="AE282" i="1"/>
  <c r="C283" i="1"/>
  <c r="E283" i="1"/>
  <c r="F283" i="1"/>
  <c r="H283" i="1"/>
  <c r="I283" i="1"/>
  <c r="J283" i="1"/>
  <c r="L283" i="1"/>
  <c r="M283" i="1"/>
  <c r="V283" i="1"/>
  <c r="AE283" i="1"/>
  <c r="C284" i="1"/>
  <c r="E284" i="1"/>
  <c r="F284" i="1"/>
  <c r="H284" i="1"/>
  <c r="I284" i="1"/>
  <c r="J284" i="1"/>
  <c r="L284" i="1"/>
  <c r="M284" i="1"/>
  <c r="V284" i="1"/>
  <c r="AE284" i="1"/>
  <c r="C285" i="1"/>
  <c r="E285" i="1"/>
  <c r="F285" i="1"/>
  <c r="H285" i="1"/>
  <c r="I285" i="1"/>
  <c r="J285" i="1"/>
  <c r="L285" i="1"/>
  <c r="M285" i="1"/>
  <c r="V285" i="1"/>
  <c r="AE285" i="1"/>
  <c r="C286" i="1"/>
  <c r="E286" i="1"/>
  <c r="F286" i="1"/>
  <c r="H286" i="1"/>
  <c r="I286" i="1"/>
  <c r="J286" i="1"/>
  <c r="L286" i="1"/>
  <c r="M286" i="1"/>
  <c r="V286" i="1"/>
  <c r="AE286" i="1"/>
  <c r="C287" i="1"/>
  <c r="E287" i="1"/>
  <c r="F287" i="1"/>
  <c r="H287" i="1"/>
  <c r="I287" i="1"/>
  <c r="J287" i="1"/>
  <c r="L287" i="1"/>
  <c r="M287" i="1"/>
  <c r="V287" i="1"/>
  <c r="AE287" i="1"/>
  <c r="C288" i="1"/>
  <c r="E288" i="1"/>
  <c r="F288" i="1"/>
  <c r="H288" i="1"/>
  <c r="I288" i="1"/>
  <c r="J288" i="1"/>
  <c r="L288" i="1"/>
  <c r="M288" i="1"/>
  <c r="V288" i="1"/>
  <c r="AE288" i="1"/>
  <c r="C289" i="1"/>
  <c r="E289" i="1"/>
  <c r="F289" i="1"/>
  <c r="H289" i="1"/>
  <c r="I289" i="1"/>
  <c r="J289" i="1"/>
  <c r="L289" i="1"/>
  <c r="M289" i="1"/>
  <c r="V289" i="1"/>
  <c r="AE289" i="1"/>
  <c r="C290" i="1"/>
  <c r="E290" i="1"/>
  <c r="F290" i="1"/>
  <c r="H290" i="1"/>
  <c r="I290" i="1"/>
  <c r="J290" i="1"/>
  <c r="L290" i="1"/>
  <c r="M290" i="1"/>
  <c r="V290" i="1"/>
  <c r="AE290" i="1"/>
  <c r="C291" i="1"/>
  <c r="E291" i="1"/>
  <c r="F291" i="1"/>
  <c r="H291" i="1"/>
  <c r="I291" i="1"/>
  <c r="J291" i="1"/>
  <c r="L291" i="1"/>
  <c r="M291" i="1"/>
  <c r="V291" i="1"/>
  <c r="AE291" i="1"/>
  <c r="C292" i="1"/>
  <c r="E292" i="1"/>
  <c r="F292" i="1"/>
  <c r="H292" i="1"/>
  <c r="I292" i="1"/>
  <c r="J292" i="1"/>
  <c r="L292" i="1"/>
  <c r="M292" i="1"/>
  <c r="V292" i="1"/>
  <c r="AE292" i="1"/>
  <c r="C293" i="1"/>
  <c r="E293" i="1"/>
  <c r="F293" i="1"/>
  <c r="H293" i="1"/>
  <c r="I293" i="1"/>
  <c r="J293" i="1"/>
  <c r="L293" i="1"/>
  <c r="M293" i="1"/>
  <c r="V293" i="1"/>
  <c r="AE293" i="1"/>
  <c r="C294" i="1"/>
  <c r="E294" i="1"/>
  <c r="F294" i="1"/>
  <c r="H294" i="1"/>
  <c r="I294" i="1"/>
  <c r="J294" i="1"/>
  <c r="L294" i="1"/>
  <c r="M294" i="1"/>
  <c r="V294" i="1"/>
  <c r="AE294" i="1"/>
  <c r="C295" i="1"/>
  <c r="E295" i="1"/>
  <c r="F295" i="1"/>
  <c r="H295" i="1"/>
  <c r="I295" i="1"/>
  <c r="J295" i="1"/>
  <c r="L295" i="1"/>
  <c r="M295" i="1"/>
  <c r="V295" i="1"/>
  <c r="AE295" i="1"/>
  <c r="C296" i="1"/>
  <c r="E296" i="1"/>
  <c r="F296" i="1"/>
  <c r="H296" i="1"/>
  <c r="I296" i="1"/>
  <c r="J296" i="1"/>
  <c r="L296" i="1"/>
  <c r="M296" i="1"/>
  <c r="V296" i="1"/>
  <c r="AE296" i="1"/>
  <c r="C297" i="1"/>
  <c r="E297" i="1"/>
  <c r="F297" i="1"/>
  <c r="H297" i="1"/>
  <c r="I297" i="1"/>
  <c r="J297" i="1"/>
  <c r="L297" i="1"/>
  <c r="M297" i="1"/>
  <c r="V297" i="1"/>
  <c r="AE297" i="1"/>
  <c r="C298" i="1"/>
  <c r="E298" i="1"/>
  <c r="F298" i="1"/>
  <c r="H298" i="1"/>
  <c r="I298" i="1"/>
  <c r="J298" i="1"/>
  <c r="L298" i="1"/>
  <c r="M298" i="1"/>
  <c r="V298" i="1"/>
  <c r="AE298" i="1"/>
  <c r="C299" i="1"/>
  <c r="E299" i="1"/>
  <c r="F299" i="1"/>
  <c r="H299" i="1"/>
  <c r="I299" i="1"/>
  <c r="J299" i="1"/>
  <c r="L299" i="1"/>
  <c r="M299" i="1"/>
  <c r="V299" i="1"/>
  <c r="AE299" i="1"/>
  <c r="C300" i="1"/>
  <c r="E300" i="1"/>
  <c r="F300" i="1"/>
  <c r="H300" i="1"/>
  <c r="I300" i="1"/>
  <c r="J300" i="1"/>
  <c r="L300" i="1"/>
  <c r="M300" i="1"/>
  <c r="V300" i="1"/>
  <c r="AE300" i="1"/>
  <c r="C301" i="1"/>
  <c r="E301" i="1"/>
  <c r="F301" i="1"/>
  <c r="H301" i="1"/>
  <c r="I301" i="1"/>
  <c r="J301" i="1"/>
  <c r="L301" i="1"/>
  <c r="M301" i="1"/>
  <c r="V301" i="1"/>
  <c r="AE301" i="1"/>
  <c r="C302" i="1"/>
  <c r="E302" i="1"/>
  <c r="F302" i="1"/>
  <c r="H302" i="1"/>
  <c r="I302" i="1"/>
  <c r="J302" i="1"/>
  <c r="L302" i="1"/>
  <c r="M302" i="1"/>
  <c r="V302" i="1"/>
  <c r="AE302" i="1"/>
  <c r="C303" i="1"/>
  <c r="E303" i="1"/>
  <c r="F303" i="1"/>
  <c r="H303" i="1"/>
  <c r="I303" i="1"/>
  <c r="J303" i="1"/>
  <c r="L303" i="1"/>
  <c r="M303" i="1"/>
  <c r="V303" i="1"/>
  <c r="AE303" i="1"/>
  <c r="C304" i="1"/>
  <c r="E304" i="1"/>
  <c r="F304" i="1"/>
  <c r="H304" i="1"/>
  <c r="I304" i="1"/>
  <c r="J304" i="1"/>
  <c r="L304" i="1"/>
  <c r="M304" i="1"/>
  <c r="V304" i="1"/>
  <c r="AE304" i="1"/>
  <c r="C305" i="1"/>
  <c r="E305" i="1"/>
  <c r="F305" i="1"/>
  <c r="H305" i="1"/>
  <c r="I305" i="1"/>
  <c r="J305" i="1"/>
  <c r="L305" i="1"/>
  <c r="M305" i="1"/>
  <c r="V305" i="1"/>
  <c r="AE305" i="1"/>
  <c r="C306" i="1"/>
  <c r="E306" i="1"/>
  <c r="F306" i="1"/>
  <c r="H306" i="1"/>
  <c r="I306" i="1"/>
  <c r="J306" i="1"/>
  <c r="L306" i="1"/>
  <c r="M306" i="1"/>
  <c r="V306" i="1"/>
  <c r="AE306" i="1"/>
  <c r="C307" i="1"/>
  <c r="E307" i="1"/>
  <c r="F307" i="1"/>
  <c r="H307" i="1"/>
  <c r="I307" i="1"/>
  <c r="J307" i="1"/>
  <c r="L307" i="1"/>
  <c r="M307" i="1"/>
  <c r="V307" i="1"/>
  <c r="AE307" i="1"/>
  <c r="C308" i="1"/>
  <c r="E308" i="1"/>
  <c r="F308" i="1"/>
  <c r="H308" i="1"/>
  <c r="I308" i="1"/>
  <c r="J308" i="1"/>
  <c r="L308" i="1"/>
  <c r="M308" i="1"/>
  <c r="V308" i="1"/>
  <c r="AE308" i="1"/>
  <c r="C309" i="1"/>
  <c r="E309" i="1"/>
  <c r="F309" i="1"/>
  <c r="H309" i="1"/>
  <c r="I309" i="1"/>
  <c r="J309" i="1"/>
  <c r="L309" i="1"/>
  <c r="M309" i="1"/>
  <c r="V309" i="1"/>
  <c r="AE309" i="1"/>
  <c r="C310" i="1"/>
  <c r="E310" i="1"/>
  <c r="F310" i="1"/>
  <c r="H310" i="1"/>
  <c r="I310" i="1"/>
  <c r="J310" i="1"/>
  <c r="L310" i="1"/>
  <c r="M310" i="1"/>
  <c r="V310" i="1"/>
  <c r="AE310" i="1"/>
  <c r="C311" i="1"/>
  <c r="E311" i="1"/>
  <c r="F311" i="1"/>
  <c r="H311" i="1"/>
  <c r="I311" i="1"/>
  <c r="J311" i="1"/>
  <c r="L311" i="1"/>
  <c r="M311" i="1"/>
  <c r="V311" i="1"/>
  <c r="AE311" i="1"/>
  <c r="C312" i="1"/>
  <c r="E312" i="1"/>
  <c r="F312" i="1"/>
  <c r="H312" i="1"/>
  <c r="I312" i="1"/>
  <c r="J312" i="1"/>
  <c r="L312" i="1"/>
  <c r="M312" i="1"/>
  <c r="V312" i="1"/>
  <c r="AE312" i="1"/>
  <c r="C313" i="1"/>
  <c r="E313" i="1"/>
  <c r="F313" i="1"/>
  <c r="H313" i="1"/>
  <c r="I313" i="1"/>
  <c r="J313" i="1"/>
  <c r="L313" i="1"/>
  <c r="M313" i="1"/>
  <c r="V313" i="1"/>
  <c r="AE313" i="1"/>
  <c r="C314" i="1"/>
  <c r="E314" i="1"/>
  <c r="F314" i="1"/>
  <c r="H314" i="1"/>
  <c r="I314" i="1"/>
  <c r="J314" i="1"/>
  <c r="L314" i="1"/>
  <c r="M314" i="1"/>
  <c r="V314" i="1"/>
  <c r="AE314" i="1"/>
  <c r="C315" i="1"/>
  <c r="E315" i="1"/>
  <c r="F315" i="1"/>
  <c r="H315" i="1"/>
  <c r="I315" i="1"/>
  <c r="J315" i="1"/>
  <c r="L315" i="1"/>
  <c r="M315" i="1"/>
  <c r="V315" i="1"/>
  <c r="AE315" i="1"/>
  <c r="C316" i="1"/>
  <c r="E316" i="1"/>
  <c r="F316" i="1"/>
  <c r="H316" i="1"/>
  <c r="I316" i="1"/>
  <c r="J316" i="1"/>
  <c r="L316" i="1"/>
  <c r="M316" i="1"/>
  <c r="V316" i="1"/>
  <c r="AE316" i="1"/>
  <c r="C317" i="1"/>
  <c r="E317" i="1"/>
  <c r="F317" i="1"/>
  <c r="H317" i="1"/>
  <c r="I317" i="1"/>
  <c r="J317" i="1"/>
  <c r="L317" i="1"/>
  <c r="M317" i="1"/>
  <c r="V317" i="1"/>
  <c r="AE317" i="1"/>
  <c r="C318" i="1"/>
  <c r="E318" i="1"/>
  <c r="F318" i="1"/>
  <c r="H318" i="1"/>
  <c r="I318" i="1"/>
  <c r="J318" i="1"/>
  <c r="L318" i="1"/>
  <c r="M318" i="1"/>
  <c r="V318" i="1"/>
  <c r="AE318" i="1"/>
  <c r="C319" i="1"/>
  <c r="E319" i="1"/>
  <c r="F319" i="1"/>
  <c r="H319" i="1"/>
  <c r="I319" i="1"/>
  <c r="J319" i="1"/>
  <c r="L319" i="1"/>
  <c r="M319" i="1"/>
  <c r="V319" i="1"/>
  <c r="AE319" i="1"/>
  <c r="C320" i="1"/>
  <c r="E320" i="1"/>
  <c r="F320" i="1"/>
  <c r="H320" i="1"/>
  <c r="I320" i="1"/>
  <c r="J320" i="1"/>
  <c r="L320" i="1"/>
  <c r="M320" i="1"/>
  <c r="V320" i="1"/>
  <c r="AE320" i="1"/>
  <c r="C321" i="1"/>
  <c r="E321" i="1"/>
  <c r="F321" i="1"/>
  <c r="H321" i="1"/>
  <c r="I321" i="1"/>
  <c r="J321" i="1"/>
  <c r="L321" i="1"/>
  <c r="M321" i="1"/>
  <c r="V321" i="1"/>
  <c r="AE321" i="1"/>
  <c r="C322" i="1"/>
  <c r="E322" i="1"/>
  <c r="F322" i="1"/>
  <c r="H322" i="1"/>
  <c r="I322" i="1"/>
  <c r="J322" i="1"/>
  <c r="L322" i="1"/>
  <c r="M322" i="1"/>
  <c r="V322" i="1"/>
  <c r="AE322" i="1"/>
  <c r="C323" i="1"/>
  <c r="E323" i="1"/>
  <c r="F323" i="1"/>
  <c r="H323" i="1"/>
  <c r="I323" i="1"/>
  <c r="J323" i="1"/>
  <c r="L323" i="1"/>
  <c r="M323" i="1"/>
  <c r="V323" i="1"/>
  <c r="AE323" i="1"/>
  <c r="C324" i="1"/>
  <c r="E324" i="1"/>
  <c r="F324" i="1"/>
  <c r="H324" i="1"/>
  <c r="I324" i="1"/>
  <c r="J324" i="1"/>
  <c r="L324" i="1"/>
  <c r="M324" i="1"/>
  <c r="V324" i="1"/>
  <c r="AE324" i="1"/>
  <c r="C325" i="1"/>
  <c r="E325" i="1"/>
  <c r="F325" i="1"/>
  <c r="H325" i="1"/>
  <c r="I325" i="1"/>
  <c r="J325" i="1"/>
  <c r="L325" i="1"/>
  <c r="M325" i="1"/>
  <c r="V325" i="1"/>
  <c r="AE325" i="1"/>
  <c r="C326" i="1"/>
  <c r="E326" i="1"/>
  <c r="F326" i="1"/>
  <c r="H326" i="1"/>
  <c r="I326" i="1"/>
  <c r="J326" i="1"/>
  <c r="L326" i="1"/>
  <c r="M326" i="1"/>
  <c r="V326" i="1"/>
  <c r="AE326" i="1"/>
  <c r="C327" i="1"/>
  <c r="E327" i="1"/>
  <c r="F327" i="1"/>
  <c r="H327" i="1"/>
  <c r="I327" i="1"/>
  <c r="J327" i="1"/>
  <c r="L327" i="1"/>
  <c r="M327" i="1"/>
  <c r="V327" i="1"/>
  <c r="AE327" i="1"/>
  <c r="C328" i="1"/>
  <c r="E328" i="1"/>
  <c r="F328" i="1"/>
  <c r="H328" i="1"/>
  <c r="I328" i="1"/>
  <c r="J328" i="1"/>
  <c r="L328" i="1"/>
  <c r="M328" i="1"/>
  <c r="V328" i="1"/>
  <c r="AE328" i="1"/>
  <c r="C329" i="1"/>
  <c r="E329" i="1"/>
  <c r="F329" i="1"/>
  <c r="H329" i="1"/>
  <c r="I329" i="1"/>
  <c r="J329" i="1"/>
  <c r="L329" i="1"/>
  <c r="M329" i="1"/>
  <c r="V329" i="1"/>
  <c r="AE329" i="1"/>
  <c r="C330" i="1"/>
  <c r="E330" i="1"/>
  <c r="F330" i="1"/>
  <c r="H330" i="1"/>
  <c r="I330" i="1"/>
  <c r="J330" i="1"/>
  <c r="L330" i="1"/>
  <c r="M330" i="1"/>
  <c r="V330" i="1"/>
  <c r="AE330" i="1"/>
  <c r="C331" i="1"/>
  <c r="E331" i="1"/>
  <c r="F331" i="1"/>
  <c r="H331" i="1"/>
  <c r="I331" i="1"/>
  <c r="J331" i="1"/>
  <c r="L331" i="1"/>
  <c r="M331" i="1"/>
  <c r="V331" i="1"/>
  <c r="AE331" i="1"/>
  <c r="C332" i="1"/>
  <c r="E332" i="1"/>
  <c r="F332" i="1"/>
  <c r="H332" i="1"/>
  <c r="I332" i="1"/>
  <c r="J332" i="1"/>
  <c r="L332" i="1"/>
  <c r="M332" i="1"/>
  <c r="V332" i="1"/>
  <c r="AE332" i="1"/>
  <c r="C333" i="1"/>
  <c r="E333" i="1"/>
  <c r="F333" i="1"/>
  <c r="H333" i="1"/>
  <c r="I333" i="1"/>
  <c r="J333" i="1"/>
  <c r="L333" i="1"/>
  <c r="M333" i="1"/>
  <c r="V333" i="1"/>
  <c r="AE333" i="1"/>
  <c r="C334" i="1"/>
  <c r="E334" i="1"/>
  <c r="F334" i="1"/>
  <c r="H334" i="1"/>
  <c r="I334" i="1"/>
  <c r="J334" i="1"/>
  <c r="L334" i="1"/>
  <c r="M334" i="1"/>
  <c r="V334" i="1"/>
  <c r="AE334" i="1"/>
  <c r="C335" i="1"/>
  <c r="E335" i="1"/>
  <c r="F335" i="1"/>
  <c r="H335" i="1"/>
  <c r="I335" i="1"/>
  <c r="J335" i="1"/>
  <c r="L335" i="1"/>
  <c r="M335" i="1"/>
  <c r="V335" i="1"/>
  <c r="AE335" i="1"/>
  <c r="C336" i="1"/>
  <c r="E336" i="1"/>
  <c r="F336" i="1"/>
  <c r="H336" i="1"/>
  <c r="I336" i="1"/>
  <c r="J336" i="1"/>
  <c r="L336" i="1"/>
  <c r="M336" i="1"/>
  <c r="V336" i="1"/>
  <c r="AE336" i="1"/>
  <c r="C337" i="1"/>
  <c r="E337" i="1"/>
  <c r="F337" i="1"/>
  <c r="H337" i="1"/>
  <c r="I337" i="1"/>
  <c r="J337" i="1"/>
  <c r="L337" i="1"/>
  <c r="M337" i="1"/>
  <c r="V337" i="1"/>
  <c r="AE337" i="1"/>
  <c r="C338" i="1"/>
  <c r="E338" i="1"/>
  <c r="F338" i="1"/>
  <c r="H338" i="1"/>
  <c r="I338" i="1"/>
  <c r="J338" i="1"/>
  <c r="L338" i="1"/>
  <c r="M338" i="1"/>
  <c r="V338" i="1"/>
  <c r="AE338" i="1"/>
  <c r="C339" i="1"/>
  <c r="E339" i="1"/>
  <c r="F339" i="1"/>
  <c r="H339" i="1"/>
  <c r="I339" i="1"/>
  <c r="J339" i="1"/>
  <c r="L339" i="1"/>
  <c r="M339" i="1"/>
  <c r="V339" i="1"/>
  <c r="AE339" i="1"/>
  <c r="C340" i="1"/>
  <c r="E340" i="1"/>
  <c r="F340" i="1"/>
  <c r="H340" i="1"/>
  <c r="I340" i="1"/>
  <c r="J340" i="1"/>
  <c r="L340" i="1"/>
  <c r="M340" i="1"/>
  <c r="V340" i="1"/>
  <c r="AE340" i="1"/>
  <c r="C341" i="1"/>
  <c r="E341" i="1"/>
  <c r="F341" i="1"/>
  <c r="H341" i="1"/>
  <c r="I341" i="1"/>
  <c r="J341" i="1"/>
  <c r="L341" i="1"/>
  <c r="M341" i="1"/>
  <c r="V341" i="1"/>
  <c r="AE341" i="1"/>
  <c r="C342" i="1"/>
  <c r="E342" i="1"/>
  <c r="F342" i="1"/>
  <c r="H342" i="1"/>
  <c r="I342" i="1"/>
  <c r="J342" i="1"/>
  <c r="L342" i="1"/>
  <c r="M342" i="1"/>
  <c r="V342" i="1"/>
  <c r="AE342" i="1"/>
  <c r="C343" i="1"/>
  <c r="E343" i="1"/>
  <c r="F343" i="1"/>
  <c r="H343" i="1"/>
  <c r="I343" i="1"/>
  <c r="J343" i="1"/>
  <c r="L343" i="1"/>
  <c r="M343" i="1"/>
  <c r="V343" i="1"/>
  <c r="AE343" i="1"/>
  <c r="C344" i="1"/>
  <c r="E344" i="1"/>
  <c r="F344" i="1"/>
  <c r="H344" i="1"/>
  <c r="I344" i="1"/>
  <c r="J344" i="1"/>
  <c r="L344" i="1"/>
  <c r="M344" i="1"/>
  <c r="V344" i="1"/>
  <c r="AE344" i="1"/>
  <c r="C345" i="1"/>
  <c r="E345" i="1"/>
  <c r="F345" i="1"/>
  <c r="H345" i="1"/>
  <c r="I345" i="1"/>
  <c r="J345" i="1"/>
  <c r="L345" i="1"/>
  <c r="M345" i="1"/>
  <c r="V345" i="1"/>
  <c r="AE345" i="1"/>
  <c r="C346" i="1"/>
  <c r="E346" i="1"/>
  <c r="F346" i="1"/>
  <c r="H346" i="1"/>
  <c r="I346" i="1"/>
  <c r="J346" i="1"/>
  <c r="L346" i="1"/>
  <c r="M346" i="1"/>
  <c r="V346" i="1"/>
  <c r="AE346" i="1"/>
  <c r="C347" i="1"/>
  <c r="E347" i="1"/>
  <c r="F347" i="1"/>
  <c r="H347" i="1"/>
  <c r="I347" i="1"/>
  <c r="J347" i="1"/>
  <c r="L347" i="1"/>
  <c r="M347" i="1"/>
  <c r="V347" i="1"/>
  <c r="AE347" i="1"/>
  <c r="C348" i="1"/>
  <c r="E348" i="1"/>
  <c r="F348" i="1"/>
  <c r="H348" i="1"/>
  <c r="I348" i="1"/>
  <c r="J348" i="1"/>
  <c r="L348" i="1"/>
  <c r="M348" i="1"/>
  <c r="V348" i="1"/>
  <c r="AE348" i="1"/>
  <c r="C349" i="1"/>
  <c r="E349" i="1"/>
  <c r="F349" i="1"/>
  <c r="H349" i="1"/>
  <c r="I349" i="1"/>
  <c r="J349" i="1"/>
  <c r="L349" i="1"/>
  <c r="M349" i="1"/>
  <c r="V349" i="1"/>
  <c r="AE349" i="1"/>
  <c r="C350" i="1"/>
  <c r="E350" i="1"/>
  <c r="F350" i="1"/>
  <c r="H350" i="1"/>
  <c r="I350" i="1"/>
  <c r="J350" i="1"/>
  <c r="L350" i="1"/>
  <c r="M350" i="1"/>
  <c r="V350" i="1"/>
  <c r="AE350" i="1"/>
  <c r="C351" i="1"/>
  <c r="E351" i="1"/>
  <c r="F351" i="1"/>
  <c r="H351" i="1"/>
  <c r="I351" i="1"/>
  <c r="J351" i="1"/>
  <c r="L351" i="1"/>
  <c r="M351" i="1"/>
  <c r="V351" i="1"/>
  <c r="AE351" i="1"/>
  <c r="C352" i="1"/>
  <c r="E352" i="1"/>
  <c r="F352" i="1"/>
  <c r="H352" i="1"/>
  <c r="I352" i="1"/>
  <c r="J352" i="1"/>
  <c r="L352" i="1"/>
  <c r="M352" i="1"/>
  <c r="V352" i="1"/>
  <c r="AE352" i="1"/>
  <c r="C353" i="1"/>
  <c r="E353" i="1"/>
  <c r="F353" i="1"/>
  <c r="H353" i="1"/>
  <c r="I353" i="1"/>
  <c r="J353" i="1"/>
  <c r="L353" i="1"/>
  <c r="M353" i="1"/>
  <c r="V353" i="1"/>
  <c r="AE353" i="1"/>
  <c r="C354" i="1"/>
  <c r="E354" i="1"/>
  <c r="F354" i="1"/>
  <c r="H354" i="1"/>
  <c r="I354" i="1"/>
  <c r="J354" i="1"/>
  <c r="L354" i="1"/>
  <c r="M354" i="1"/>
  <c r="V354" i="1"/>
  <c r="AE354" i="1"/>
  <c r="C355" i="1"/>
  <c r="E355" i="1"/>
  <c r="F355" i="1"/>
  <c r="H355" i="1"/>
  <c r="I355" i="1"/>
  <c r="J355" i="1"/>
  <c r="L355" i="1"/>
  <c r="M355" i="1"/>
  <c r="V355" i="1"/>
  <c r="AE355" i="1"/>
  <c r="C356" i="1"/>
  <c r="E356" i="1"/>
  <c r="F356" i="1"/>
  <c r="H356" i="1"/>
  <c r="I356" i="1"/>
  <c r="J356" i="1"/>
  <c r="L356" i="1"/>
  <c r="M356" i="1"/>
  <c r="V356" i="1"/>
  <c r="AE356" i="1"/>
  <c r="C357" i="1"/>
  <c r="E357" i="1"/>
  <c r="F357" i="1"/>
  <c r="H357" i="1"/>
  <c r="I357" i="1"/>
  <c r="J357" i="1"/>
  <c r="L357" i="1"/>
  <c r="M357" i="1"/>
  <c r="V357" i="1"/>
  <c r="AE357" i="1"/>
  <c r="C358" i="1"/>
  <c r="E358" i="1"/>
  <c r="F358" i="1"/>
  <c r="H358" i="1"/>
  <c r="I358" i="1"/>
  <c r="J358" i="1"/>
  <c r="L358" i="1"/>
  <c r="M358" i="1"/>
  <c r="V358" i="1"/>
  <c r="AE358" i="1"/>
  <c r="C359" i="1"/>
  <c r="E359" i="1"/>
  <c r="F359" i="1"/>
  <c r="H359" i="1"/>
  <c r="I359" i="1"/>
  <c r="J359" i="1"/>
  <c r="L359" i="1"/>
  <c r="M359" i="1"/>
  <c r="V359" i="1"/>
  <c r="AE359" i="1"/>
  <c r="C360" i="1"/>
  <c r="E360" i="1"/>
  <c r="F360" i="1"/>
  <c r="H360" i="1"/>
  <c r="I360" i="1"/>
  <c r="J360" i="1"/>
  <c r="L360" i="1"/>
  <c r="M360" i="1"/>
  <c r="V360" i="1"/>
  <c r="AE360" i="1"/>
  <c r="C361" i="1"/>
  <c r="E361" i="1"/>
  <c r="F361" i="1"/>
  <c r="H361" i="1"/>
  <c r="I361" i="1"/>
  <c r="J361" i="1"/>
  <c r="L361" i="1"/>
  <c r="M361" i="1"/>
  <c r="V361" i="1"/>
  <c r="AE361" i="1"/>
  <c r="C362" i="1"/>
  <c r="E362" i="1"/>
  <c r="F362" i="1"/>
  <c r="H362" i="1"/>
  <c r="I362" i="1"/>
  <c r="J362" i="1"/>
  <c r="L362" i="1"/>
  <c r="M362" i="1"/>
  <c r="V362" i="1"/>
  <c r="AE362" i="1"/>
  <c r="C363" i="1"/>
  <c r="E363" i="1"/>
  <c r="F363" i="1"/>
  <c r="H363" i="1"/>
  <c r="I363" i="1"/>
  <c r="J363" i="1"/>
  <c r="L363" i="1"/>
  <c r="M363" i="1"/>
  <c r="V363" i="1"/>
  <c r="AE363" i="1"/>
  <c r="C364" i="1"/>
  <c r="E364" i="1"/>
  <c r="F364" i="1"/>
  <c r="H364" i="1"/>
  <c r="I364" i="1"/>
  <c r="J364" i="1"/>
  <c r="L364" i="1"/>
  <c r="M364" i="1"/>
  <c r="V364" i="1"/>
  <c r="AE364" i="1"/>
  <c r="C365" i="1"/>
  <c r="E365" i="1"/>
  <c r="F365" i="1"/>
  <c r="H365" i="1"/>
  <c r="I365" i="1"/>
  <c r="J365" i="1"/>
  <c r="L365" i="1"/>
  <c r="M365" i="1"/>
  <c r="V365" i="1"/>
  <c r="AE365" i="1"/>
  <c r="C366" i="1"/>
  <c r="E366" i="1"/>
  <c r="F366" i="1"/>
  <c r="H366" i="1"/>
  <c r="I366" i="1"/>
  <c r="J366" i="1"/>
  <c r="L366" i="1"/>
  <c r="M366" i="1"/>
  <c r="V366" i="1"/>
  <c r="AE366" i="1"/>
  <c r="C367" i="1"/>
  <c r="E367" i="1"/>
  <c r="F367" i="1"/>
  <c r="H367" i="1"/>
  <c r="I367" i="1"/>
  <c r="J367" i="1"/>
  <c r="L367" i="1"/>
  <c r="M367" i="1"/>
  <c r="V367" i="1"/>
  <c r="AE367" i="1"/>
  <c r="C368" i="1"/>
  <c r="E368" i="1"/>
  <c r="F368" i="1"/>
  <c r="H368" i="1"/>
  <c r="I368" i="1"/>
  <c r="J368" i="1"/>
  <c r="L368" i="1"/>
  <c r="M368" i="1"/>
  <c r="V368" i="1"/>
  <c r="AE368" i="1"/>
  <c r="C369" i="1"/>
  <c r="E369" i="1"/>
  <c r="F369" i="1"/>
  <c r="H369" i="1"/>
  <c r="I369" i="1"/>
  <c r="J369" i="1"/>
  <c r="L369" i="1"/>
  <c r="M369" i="1"/>
  <c r="V369" i="1"/>
  <c r="AE369" i="1"/>
  <c r="C370" i="1"/>
  <c r="E370" i="1"/>
  <c r="F370" i="1"/>
  <c r="H370" i="1"/>
  <c r="I370" i="1"/>
  <c r="J370" i="1"/>
  <c r="L370" i="1"/>
  <c r="M370" i="1"/>
  <c r="V370" i="1"/>
  <c r="AE370" i="1"/>
  <c r="C371" i="1"/>
  <c r="E371" i="1"/>
  <c r="F371" i="1"/>
  <c r="H371" i="1"/>
  <c r="I371" i="1"/>
  <c r="J371" i="1"/>
  <c r="L371" i="1"/>
  <c r="M371" i="1"/>
  <c r="V371" i="1"/>
  <c r="AE371" i="1"/>
  <c r="C372" i="1"/>
  <c r="E372" i="1"/>
  <c r="F372" i="1"/>
  <c r="H372" i="1"/>
  <c r="I372" i="1"/>
  <c r="J372" i="1"/>
  <c r="L372" i="1"/>
  <c r="M372" i="1"/>
  <c r="V372" i="1"/>
  <c r="AE372" i="1"/>
  <c r="C373" i="1"/>
  <c r="E373" i="1"/>
  <c r="F373" i="1"/>
  <c r="H373" i="1"/>
  <c r="I373" i="1"/>
  <c r="J373" i="1"/>
  <c r="L373" i="1"/>
  <c r="M373" i="1"/>
  <c r="V373" i="1"/>
  <c r="AE373" i="1"/>
  <c r="C374" i="1"/>
  <c r="E374" i="1"/>
  <c r="F374" i="1"/>
  <c r="H374" i="1"/>
  <c r="I374" i="1"/>
  <c r="J374" i="1"/>
  <c r="L374" i="1"/>
  <c r="M374" i="1"/>
  <c r="V374" i="1"/>
  <c r="AE374" i="1"/>
  <c r="C375" i="1"/>
  <c r="E375" i="1"/>
  <c r="F375" i="1"/>
  <c r="H375" i="1"/>
  <c r="I375" i="1"/>
  <c r="J375" i="1"/>
  <c r="L375" i="1"/>
  <c r="M375" i="1"/>
  <c r="V375" i="1"/>
  <c r="AE375" i="1"/>
  <c r="C376" i="1"/>
  <c r="E376" i="1"/>
  <c r="F376" i="1"/>
  <c r="H376" i="1"/>
  <c r="I376" i="1"/>
  <c r="J376" i="1"/>
  <c r="L376" i="1"/>
  <c r="M376" i="1"/>
  <c r="V376" i="1"/>
  <c r="AE376" i="1"/>
  <c r="C377" i="1"/>
  <c r="E377" i="1"/>
  <c r="F377" i="1"/>
  <c r="H377" i="1"/>
  <c r="I377" i="1"/>
  <c r="J377" i="1"/>
  <c r="L377" i="1"/>
  <c r="M377" i="1"/>
  <c r="V377" i="1"/>
  <c r="AE377" i="1"/>
  <c r="C378" i="1"/>
  <c r="E378" i="1"/>
  <c r="F378" i="1"/>
  <c r="H378" i="1"/>
  <c r="I378" i="1"/>
  <c r="J378" i="1"/>
  <c r="L378" i="1"/>
  <c r="M378" i="1"/>
  <c r="V378" i="1"/>
  <c r="AE378" i="1"/>
  <c r="C379" i="1"/>
  <c r="E379" i="1"/>
  <c r="F379" i="1"/>
  <c r="H379" i="1"/>
  <c r="I379" i="1"/>
  <c r="J379" i="1"/>
  <c r="L379" i="1"/>
  <c r="M379" i="1"/>
  <c r="V379" i="1"/>
  <c r="AE379" i="1"/>
  <c r="C380" i="1"/>
  <c r="E380" i="1"/>
  <c r="F380" i="1"/>
  <c r="H380" i="1"/>
  <c r="I380" i="1"/>
  <c r="J380" i="1"/>
  <c r="L380" i="1"/>
  <c r="M380" i="1"/>
  <c r="V380" i="1"/>
  <c r="AE380" i="1"/>
  <c r="C381" i="1"/>
  <c r="E381" i="1"/>
  <c r="F381" i="1"/>
  <c r="H381" i="1"/>
  <c r="I381" i="1"/>
  <c r="J381" i="1"/>
  <c r="L381" i="1"/>
  <c r="M381" i="1"/>
  <c r="V381" i="1"/>
  <c r="AE381" i="1"/>
  <c r="C382" i="1"/>
  <c r="E382" i="1"/>
  <c r="F382" i="1"/>
  <c r="H382" i="1"/>
  <c r="I382" i="1"/>
  <c r="J382" i="1"/>
  <c r="L382" i="1"/>
  <c r="M382" i="1"/>
  <c r="V382" i="1"/>
  <c r="AE382" i="1"/>
  <c r="C383" i="1"/>
  <c r="E383" i="1"/>
  <c r="F383" i="1"/>
  <c r="H383" i="1"/>
  <c r="I383" i="1"/>
  <c r="J383" i="1"/>
  <c r="L383" i="1"/>
  <c r="M383" i="1"/>
  <c r="V383" i="1"/>
  <c r="AE383" i="1"/>
  <c r="C384" i="1"/>
  <c r="E384" i="1"/>
  <c r="F384" i="1"/>
  <c r="H384" i="1"/>
  <c r="I384" i="1"/>
  <c r="J384" i="1"/>
  <c r="L384" i="1"/>
  <c r="M384" i="1"/>
  <c r="V384" i="1"/>
  <c r="AE384" i="1"/>
  <c r="C385" i="1"/>
  <c r="E385" i="1"/>
  <c r="F385" i="1"/>
  <c r="H385" i="1"/>
  <c r="I385" i="1"/>
  <c r="J385" i="1"/>
  <c r="L385" i="1"/>
  <c r="M385" i="1"/>
  <c r="V385" i="1"/>
  <c r="AE385" i="1"/>
  <c r="C386" i="1"/>
  <c r="E386" i="1"/>
  <c r="F386" i="1"/>
  <c r="H386" i="1"/>
  <c r="I386" i="1"/>
  <c r="J386" i="1"/>
  <c r="L386" i="1"/>
  <c r="M386" i="1"/>
  <c r="V386" i="1"/>
  <c r="AE386" i="1"/>
  <c r="C387" i="1"/>
  <c r="E387" i="1"/>
  <c r="F387" i="1"/>
  <c r="H387" i="1"/>
  <c r="I387" i="1"/>
  <c r="J387" i="1"/>
  <c r="L387" i="1"/>
  <c r="M387" i="1"/>
  <c r="V387" i="1"/>
  <c r="AE387" i="1"/>
  <c r="C388" i="1"/>
  <c r="E388" i="1"/>
  <c r="F388" i="1"/>
  <c r="H388" i="1"/>
  <c r="I388" i="1"/>
  <c r="J388" i="1"/>
  <c r="L388" i="1"/>
  <c r="M388" i="1"/>
  <c r="V388" i="1"/>
  <c r="AE388" i="1"/>
  <c r="C389" i="1"/>
  <c r="E389" i="1"/>
  <c r="F389" i="1"/>
  <c r="H389" i="1"/>
  <c r="I389" i="1"/>
  <c r="J389" i="1"/>
  <c r="L389" i="1"/>
  <c r="M389" i="1"/>
  <c r="V389" i="1"/>
  <c r="AE389" i="1"/>
  <c r="C390" i="1"/>
  <c r="E390" i="1"/>
  <c r="F390" i="1"/>
  <c r="H390" i="1"/>
  <c r="I390" i="1"/>
  <c r="J390" i="1"/>
  <c r="L390" i="1"/>
  <c r="M390" i="1"/>
  <c r="V390" i="1"/>
  <c r="AE390" i="1"/>
  <c r="C391" i="1"/>
  <c r="E391" i="1"/>
  <c r="F391" i="1"/>
  <c r="H391" i="1"/>
  <c r="I391" i="1"/>
  <c r="J391" i="1"/>
  <c r="L391" i="1"/>
  <c r="M391" i="1"/>
  <c r="V391" i="1"/>
  <c r="AE391" i="1"/>
  <c r="C392" i="1"/>
  <c r="E392" i="1"/>
  <c r="F392" i="1"/>
  <c r="H392" i="1"/>
  <c r="I392" i="1"/>
  <c r="J392" i="1"/>
  <c r="L392" i="1"/>
  <c r="M392" i="1"/>
  <c r="V392" i="1"/>
  <c r="AE392" i="1"/>
  <c r="C393" i="1"/>
  <c r="E393" i="1"/>
  <c r="F393" i="1"/>
  <c r="H393" i="1"/>
  <c r="I393" i="1"/>
  <c r="J393" i="1"/>
  <c r="L393" i="1"/>
  <c r="M393" i="1"/>
  <c r="V393" i="1"/>
  <c r="AE393" i="1"/>
  <c r="C394" i="1"/>
  <c r="E394" i="1"/>
  <c r="F394" i="1"/>
  <c r="H394" i="1"/>
  <c r="I394" i="1"/>
  <c r="J394" i="1"/>
  <c r="L394" i="1"/>
  <c r="M394" i="1"/>
  <c r="V394" i="1"/>
  <c r="AE394" i="1"/>
  <c r="C395" i="1"/>
  <c r="E395" i="1"/>
  <c r="F395" i="1"/>
  <c r="H395" i="1"/>
  <c r="I395" i="1"/>
  <c r="J395" i="1"/>
  <c r="L395" i="1"/>
  <c r="M395" i="1"/>
  <c r="V395" i="1"/>
  <c r="AE395" i="1"/>
  <c r="C396" i="1"/>
  <c r="E396" i="1"/>
  <c r="F396" i="1"/>
  <c r="H396" i="1"/>
  <c r="I396" i="1"/>
  <c r="J396" i="1"/>
  <c r="L396" i="1"/>
  <c r="M396" i="1"/>
  <c r="V396" i="1"/>
  <c r="AE396" i="1"/>
  <c r="C397" i="1"/>
  <c r="E397" i="1"/>
  <c r="F397" i="1"/>
  <c r="H397" i="1"/>
  <c r="I397" i="1"/>
  <c r="J397" i="1"/>
  <c r="L397" i="1"/>
  <c r="M397" i="1"/>
  <c r="V397" i="1"/>
  <c r="AE397" i="1"/>
  <c r="C398" i="1"/>
  <c r="E398" i="1"/>
  <c r="F398" i="1"/>
  <c r="H398" i="1"/>
  <c r="I398" i="1"/>
  <c r="J398" i="1"/>
  <c r="L398" i="1"/>
  <c r="M398" i="1"/>
  <c r="V398" i="1"/>
  <c r="AE398" i="1"/>
  <c r="C399" i="1"/>
  <c r="E399" i="1"/>
  <c r="F399" i="1"/>
  <c r="H399" i="1"/>
  <c r="I399" i="1"/>
  <c r="J399" i="1"/>
  <c r="L399" i="1"/>
  <c r="M399" i="1"/>
  <c r="V399" i="1"/>
  <c r="AE399" i="1"/>
  <c r="C400" i="1"/>
  <c r="E400" i="1"/>
  <c r="F400" i="1"/>
  <c r="H400" i="1"/>
  <c r="I400" i="1"/>
  <c r="J400" i="1"/>
  <c r="L400" i="1"/>
  <c r="M400" i="1"/>
  <c r="V400" i="1"/>
  <c r="AE400" i="1"/>
  <c r="C401" i="1"/>
  <c r="E401" i="1"/>
  <c r="F401" i="1"/>
  <c r="H401" i="1"/>
  <c r="I401" i="1"/>
  <c r="J401" i="1"/>
  <c r="L401" i="1"/>
  <c r="M401" i="1"/>
  <c r="V401" i="1"/>
  <c r="AE401" i="1"/>
  <c r="C402" i="1"/>
  <c r="E402" i="1"/>
  <c r="F402" i="1"/>
  <c r="H402" i="1"/>
  <c r="I402" i="1"/>
  <c r="J402" i="1"/>
  <c r="L402" i="1"/>
  <c r="M402" i="1"/>
  <c r="V402" i="1"/>
  <c r="AE402" i="1"/>
  <c r="C403" i="1"/>
  <c r="E403" i="1"/>
  <c r="F403" i="1"/>
  <c r="H403" i="1"/>
  <c r="I403" i="1"/>
  <c r="J403" i="1"/>
  <c r="L403" i="1"/>
  <c r="M403" i="1"/>
  <c r="V403" i="1"/>
  <c r="AE403" i="1"/>
  <c r="C404" i="1"/>
  <c r="E404" i="1"/>
  <c r="F404" i="1"/>
  <c r="H404" i="1"/>
  <c r="I404" i="1"/>
  <c r="J404" i="1"/>
  <c r="L404" i="1"/>
  <c r="M404" i="1"/>
  <c r="V404" i="1"/>
  <c r="AE404" i="1"/>
  <c r="C405" i="1"/>
  <c r="E405" i="1"/>
  <c r="F405" i="1"/>
  <c r="H405" i="1"/>
  <c r="I405" i="1"/>
  <c r="J405" i="1"/>
  <c r="L405" i="1"/>
  <c r="M405" i="1"/>
  <c r="V405" i="1"/>
  <c r="AE405" i="1"/>
  <c r="C406" i="1"/>
  <c r="E406" i="1"/>
  <c r="F406" i="1"/>
  <c r="H406" i="1"/>
  <c r="I406" i="1"/>
  <c r="J406" i="1"/>
  <c r="L406" i="1"/>
  <c r="M406" i="1"/>
  <c r="V406" i="1"/>
  <c r="AE406" i="1"/>
  <c r="C407" i="1"/>
  <c r="E407" i="1"/>
  <c r="F407" i="1"/>
  <c r="H407" i="1"/>
  <c r="I407" i="1"/>
  <c r="J407" i="1"/>
  <c r="L407" i="1"/>
  <c r="M407" i="1"/>
  <c r="V407" i="1"/>
  <c r="AE407" i="1"/>
  <c r="C408" i="1"/>
  <c r="E408" i="1"/>
  <c r="F408" i="1"/>
  <c r="H408" i="1"/>
  <c r="I408" i="1"/>
  <c r="J408" i="1"/>
  <c r="L408" i="1"/>
  <c r="M408" i="1"/>
  <c r="V408" i="1"/>
  <c r="AE408" i="1"/>
  <c r="C409" i="1"/>
  <c r="E409" i="1"/>
  <c r="F409" i="1"/>
  <c r="H409" i="1"/>
  <c r="I409" i="1"/>
  <c r="J409" i="1"/>
  <c r="L409" i="1"/>
  <c r="M409" i="1"/>
  <c r="V409" i="1"/>
  <c r="AE409" i="1"/>
  <c r="C410" i="1"/>
  <c r="E410" i="1"/>
  <c r="F410" i="1"/>
  <c r="H410" i="1"/>
  <c r="I410" i="1"/>
  <c r="J410" i="1"/>
  <c r="L410" i="1"/>
  <c r="M410" i="1"/>
  <c r="V410" i="1"/>
  <c r="AE410" i="1"/>
  <c r="C411" i="1"/>
  <c r="E411" i="1"/>
  <c r="F411" i="1"/>
  <c r="H411" i="1"/>
  <c r="I411" i="1"/>
  <c r="J411" i="1"/>
  <c r="L411" i="1"/>
  <c r="M411" i="1"/>
  <c r="V411" i="1"/>
  <c r="AE411" i="1"/>
  <c r="C412" i="1"/>
  <c r="E412" i="1"/>
  <c r="F412" i="1"/>
  <c r="H412" i="1"/>
  <c r="I412" i="1"/>
  <c r="J412" i="1"/>
  <c r="L412" i="1"/>
  <c r="M412" i="1"/>
  <c r="V412" i="1"/>
  <c r="AE412" i="1"/>
  <c r="C413" i="1"/>
  <c r="E413" i="1"/>
  <c r="F413" i="1"/>
  <c r="H413" i="1"/>
  <c r="I413" i="1"/>
  <c r="J413" i="1"/>
  <c r="L413" i="1"/>
  <c r="M413" i="1"/>
  <c r="V413" i="1"/>
  <c r="AE413" i="1"/>
  <c r="C414" i="1"/>
  <c r="E414" i="1"/>
  <c r="F414" i="1"/>
  <c r="H414" i="1"/>
  <c r="I414" i="1"/>
  <c r="J414" i="1"/>
  <c r="L414" i="1"/>
  <c r="M414" i="1"/>
  <c r="V414" i="1"/>
  <c r="AE414" i="1"/>
  <c r="C415" i="1"/>
  <c r="E415" i="1"/>
  <c r="F415" i="1"/>
  <c r="H415" i="1"/>
  <c r="I415" i="1"/>
  <c r="J415" i="1"/>
  <c r="L415" i="1"/>
  <c r="M415" i="1"/>
  <c r="AE415" i="1"/>
  <c r="C416" i="1"/>
  <c r="E416" i="1"/>
  <c r="F416" i="1"/>
  <c r="H416" i="1"/>
  <c r="I416" i="1"/>
  <c r="J416" i="1"/>
  <c r="L416" i="1"/>
  <c r="M416" i="1"/>
  <c r="V416" i="1"/>
  <c r="AE416" i="1"/>
  <c r="C417" i="1"/>
  <c r="E417" i="1"/>
  <c r="F417" i="1"/>
  <c r="H417" i="1"/>
  <c r="I417" i="1"/>
  <c r="J417" i="1"/>
  <c r="L417" i="1"/>
  <c r="M417" i="1"/>
  <c r="V417" i="1"/>
  <c r="AE417" i="1"/>
  <c r="C418" i="1"/>
  <c r="E418" i="1"/>
  <c r="F418" i="1"/>
  <c r="H418" i="1"/>
  <c r="I418" i="1"/>
  <c r="J418" i="1"/>
  <c r="L418" i="1"/>
  <c r="M418" i="1"/>
  <c r="V418" i="1"/>
  <c r="AE418" i="1"/>
  <c r="C419" i="1"/>
  <c r="E419" i="1"/>
  <c r="F419" i="1"/>
  <c r="H419" i="1"/>
  <c r="I419" i="1"/>
  <c r="J419" i="1"/>
  <c r="L419" i="1"/>
  <c r="M419" i="1"/>
  <c r="V419" i="1"/>
  <c r="AE419" i="1"/>
  <c r="C420" i="1"/>
  <c r="E420" i="1"/>
  <c r="F420" i="1"/>
  <c r="H420" i="1"/>
  <c r="I420" i="1"/>
  <c r="J420" i="1"/>
  <c r="L420" i="1"/>
  <c r="M420" i="1"/>
  <c r="V420" i="1"/>
  <c r="AE420" i="1"/>
  <c r="C421" i="1"/>
  <c r="E421" i="1"/>
  <c r="F421" i="1"/>
  <c r="H421" i="1"/>
  <c r="I421" i="1"/>
  <c r="J421" i="1"/>
  <c r="L421" i="1"/>
  <c r="M421" i="1"/>
  <c r="V421" i="1"/>
  <c r="AE421" i="1"/>
  <c r="C422" i="1"/>
  <c r="E422" i="1"/>
  <c r="F422" i="1"/>
  <c r="H422" i="1"/>
  <c r="I422" i="1"/>
  <c r="J422" i="1"/>
  <c r="L422" i="1"/>
  <c r="M422" i="1"/>
  <c r="V422" i="1"/>
  <c r="AE422" i="1"/>
  <c r="C423" i="1"/>
  <c r="E423" i="1"/>
  <c r="F423" i="1"/>
  <c r="H423" i="1"/>
  <c r="I423" i="1"/>
  <c r="J423" i="1"/>
  <c r="L423" i="1"/>
  <c r="M423" i="1"/>
  <c r="V423" i="1"/>
  <c r="AE423" i="1"/>
  <c r="C424" i="1"/>
  <c r="E424" i="1"/>
  <c r="F424" i="1"/>
  <c r="H424" i="1"/>
  <c r="I424" i="1"/>
  <c r="J424" i="1"/>
  <c r="L424" i="1"/>
  <c r="M424" i="1"/>
  <c r="V424" i="1"/>
  <c r="AE424" i="1"/>
  <c r="C425" i="1"/>
  <c r="E425" i="1"/>
  <c r="F425" i="1"/>
  <c r="H425" i="1"/>
  <c r="I425" i="1"/>
  <c r="J425" i="1"/>
  <c r="L425" i="1"/>
  <c r="M425" i="1"/>
  <c r="V425" i="1"/>
  <c r="AE425" i="1"/>
  <c r="C426" i="1"/>
  <c r="E426" i="1"/>
  <c r="F426" i="1"/>
  <c r="H426" i="1"/>
  <c r="I426" i="1"/>
  <c r="J426" i="1"/>
  <c r="L426" i="1"/>
  <c r="M426" i="1"/>
  <c r="V426" i="1"/>
  <c r="AE426" i="1"/>
  <c r="C427" i="1"/>
  <c r="E427" i="1"/>
  <c r="F427" i="1"/>
  <c r="H427" i="1"/>
  <c r="I427" i="1"/>
  <c r="J427" i="1"/>
  <c r="L427" i="1"/>
  <c r="M427" i="1"/>
  <c r="V427" i="1"/>
  <c r="AE427" i="1"/>
  <c r="C428" i="1"/>
  <c r="E428" i="1"/>
  <c r="F428" i="1"/>
  <c r="H428" i="1"/>
  <c r="I428" i="1"/>
  <c r="J428" i="1"/>
  <c r="L428" i="1"/>
  <c r="M428" i="1"/>
  <c r="V428" i="1"/>
  <c r="AE428" i="1"/>
  <c r="C429" i="1"/>
  <c r="E429" i="1"/>
  <c r="F429" i="1"/>
  <c r="H429" i="1"/>
  <c r="I429" i="1"/>
  <c r="J429" i="1"/>
  <c r="L429" i="1"/>
  <c r="M429" i="1"/>
  <c r="AE429" i="1"/>
  <c r="C430" i="1"/>
  <c r="E430" i="1"/>
  <c r="F430" i="1"/>
  <c r="H430" i="1"/>
  <c r="I430" i="1"/>
  <c r="J430" i="1"/>
  <c r="L430" i="1"/>
  <c r="M430" i="1"/>
  <c r="V430" i="1"/>
  <c r="AE430" i="1"/>
  <c r="C431" i="1"/>
  <c r="E431" i="1"/>
  <c r="F431" i="1"/>
  <c r="H431" i="1"/>
  <c r="I431" i="1"/>
  <c r="J431" i="1"/>
  <c r="L431" i="1"/>
  <c r="M431" i="1"/>
  <c r="V431" i="1"/>
  <c r="AE431" i="1"/>
  <c r="C432" i="1"/>
  <c r="E432" i="1"/>
  <c r="F432" i="1"/>
  <c r="H432" i="1"/>
  <c r="I432" i="1"/>
  <c r="J432" i="1"/>
  <c r="L432" i="1"/>
  <c r="M432" i="1"/>
  <c r="V432" i="1"/>
  <c r="AE432" i="1"/>
  <c r="C433" i="1"/>
  <c r="E433" i="1"/>
  <c r="F433" i="1"/>
  <c r="H433" i="1"/>
  <c r="I433" i="1"/>
  <c r="J433" i="1"/>
  <c r="L433" i="1"/>
  <c r="M433" i="1"/>
  <c r="V433" i="1"/>
  <c r="AE433" i="1"/>
  <c r="C434" i="1"/>
  <c r="E434" i="1"/>
  <c r="F434" i="1"/>
  <c r="H434" i="1"/>
  <c r="I434" i="1"/>
  <c r="J434" i="1"/>
  <c r="L434" i="1"/>
  <c r="M434" i="1"/>
  <c r="V434" i="1"/>
  <c r="AE434" i="1"/>
  <c r="C435" i="1"/>
  <c r="E435" i="1"/>
  <c r="F435" i="1"/>
  <c r="H435" i="1"/>
  <c r="I435" i="1"/>
  <c r="J435" i="1"/>
  <c r="L435" i="1"/>
  <c r="M435" i="1"/>
  <c r="V435" i="1"/>
  <c r="AE435" i="1"/>
  <c r="C436" i="1"/>
  <c r="E436" i="1"/>
  <c r="F436" i="1"/>
  <c r="H436" i="1"/>
  <c r="I436" i="1"/>
  <c r="J436" i="1"/>
  <c r="L436" i="1"/>
  <c r="M436" i="1"/>
  <c r="V436" i="1"/>
  <c r="AE436" i="1"/>
  <c r="C437" i="1"/>
  <c r="E437" i="1"/>
  <c r="F437" i="1"/>
  <c r="H437" i="1"/>
  <c r="I437" i="1"/>
  <c r="J437" i="1"/>
  <c r="L437" i="1"/>
  <c r="M437" i="1"/>
  <c r="V437" i="1"/>
  <c r="AE437" i="1"/>
  <c r="C438" i="1"/>
  <c r="E438" i="1"/>
  <c r="F438" i="1"/>
  <c r="H438" i="1"/>
  <c r="I438" i="1"/>
  <c r="J438" i="1"/>
  <c r="L438" i="1"/>
  <c r="M438" i="1"/>
  <c r="V438" i="1"/>
  <c r="AE438" i="1"/>
  <c r="C439" i="1"/>
  <c r="E439" i="1"/>
  <c r="F439" i="1"/>
  <c r="H439" i="1"/>
  <c r="I439" i="1"/>
  <c r="J439" i="1"/>
  <c r="L439" i="1"/>
  <c r="M439" i="1"/>
  <c r="V439" i="1"/>
  <c r="AE439" i="1"/>
  <c r="C440" i="1"/>
  <c r="E440" i="1"/>
  <c r="F440" i="1"/>
  <c r="H440" i="1"/>
  <c r="I440" i="1"/>
  <c r="J440" i="1"/>
  <c r="L440" i="1"/>
  <c r="M440" i="1"/>
  <c r="V440" i="1"/>
  <c r="AE440" i="1"/>
  <c r="C441" i="1"/>
  <c r="E441" i="1"/>
  <c r="F441" i="1"/>
  <c r="H441" i="1"/>
  <c r="I441" i="1"/>
  <c r="J441" i="1"/>
  <c r="L441" i="1"/>
  <c r="M441" i="1"/>
  <c r="V441" i="1"/>
  <c r="AE441" i="1"/>
  <c r="C442" i="1"/>
  <c r="E442" i="1"/>
  <c r="F442" i="1"/>
  <c r="H442" i="1"/>
  <c r="I442" i="1"/>
  <c r="J442" i="1"/>
  <c r="L442" i="1"/>
  <c r="M442" i="1"/>
  <c r="V442" i="1"/>
  <c r="AE442" i="1"/>
  <c r="C443" i="1"/>
  <c r="E443" i="1"/>
  <c r="F443" i="1"/>
  <c r="H443" i="1"/>
  <c r="I443" i="1"/>
  <c r="J443" i="1"/>
  <c r="L443" i="1"/>
  <c r="M443" i="1"/>
  <c r="V443" i="1"/>
  <c r="AE443" i="1"/>
  <c r="C444" i="1"/>
  <c r="E444" i="1"/>
  <c r="F444" i="1"/>
  <c r="H444" i="1"/>
  <c r="I444" i="1"/>
  <c r="J444" i="1"/>
  <c r="L444" i="1"/>
  <c r="M444" i="1"/>
  <c r="V444" i="1"/>
  <c r="AE444" i="1"/>
  <c r="C445" i="1"/>
  <c r="E445" i="1"/>
  <c r="F445" i="1"/>
  <c r="H445" i="1"/>
  <c r="I445" i="1"/>
  <c r="J445" i="1"/>
  <c r="L445" i="1"/>
  <c r="M445" i="1"/>
  <c r="V445" i="1"/>
  <c r="AE445" i="1"/>
  <c r="C446" i="1"/>
  <c r="E446" i="1"/>
  <c r="F446" i="1"/>
  <c r="H446" i="1"/>
  <c r="I446" i="1"/>
  <c r="J446" i="1"/>
  <c r="L446" i="1"/>
  <c r="M446" i="1"/>
  <c r="V446" i="1"/>
  <c r="AE446" i="1"/>
  <c r="C447" i="1"/>
  <c r="E447" i="1"/>
  <c r="F447" i="1"/>
  <c r="H447" i="1"/>
  <c r="I447" i="1"/>
  <c r="J447" i="1"/>
  <c r="L447" i="1"/>
  <c r="M447" i="1"/>
  <c r="V447" i="1"/>
  <c r="AE447" i="1"/>
  <c r="C448" i="1"/>
  <c r="E448" i="1"/>
  <c r="F448" i="1"/>
  <c r="H448" i="1"/>
  <c r="I448" i="1"/>
  <c r="J448" i="1"/>
  <c r="L448" i="1"/>
  <c r="M448" i="1"/>
  <c r="V448" i="1"/>
  <c r="AE448" i="1"/>
  <c r="C449" i="1"/>
  <c r="E449" i="1"/>
  <c r="F449" i="1"/>
  <c r="H449" i="1"/>
  <c r="I449" i="1"/>
  <c r="J449" i="1"/>
  <c r="L449" i="1"/>
  <c r="M449" i="1"/>
  <c r="V449" i="1"/>
  <c r="AE449" i="1"/>
  <c r="C450" i="1"/>
  <c r="E450" i="1"/>
  <c r="F450" i="1"/>
  <c r="H450" i="1"/>
  <c r="I450" i="1"/>
  <c r="J450" i="1"/>
  <c r="L450" i="1"/>
  <c r="M450" i="1"/>
  <c r="V450" i="1"/>
  <c r="AE450" i="1"/>
  <c r="C451" i="1"/>
  <c r="E451" i="1"/>
  <c r="F451" i="1"/>
  <c r="H451" i="1"/>
  <c r="I451" i="1"/>
  <c r="J451" i="1"/>
  <c r="L451" i="1"/>
  <c r="M451" i="1"/>
  <c r="V451" i="1"/>
  <c r="AE451" i="1"/>
  <c r="C452" i="1"/>
  <c r="E452" i="1"/>
  <c r="F452" i="1"/>
  <c r="H452" i="1"/>
  <c r="I452" i="1"/>
  <c r="J452" i="1"/>
  <c r="L452" i="1"/>
  <c r="M452" i="1"/>
  <c r="V452" i="1"/>
  <c r="AE452" i="1"/>
  <c r="C453" i="1"/>
  <c r="E453" i="1"/>
  <c r="F453" i="1"/>
  <c r="H453" i="1"/>
  <c r="I453" i="1"/>
  <c r="J453" i="1"/>
  <c r="L453" i="1"/>
  <c r="M453" i="1"/>
  <c r="V453" i="1"/>
  <c r="AE453" i="1"/>
  <c r="C454" i="1"/>
  <c r="E454" i="1"/>
  <c r="F454" i="1"/>
  <c r="H454" i="1"/>
  <c r="I454" i="1"/>
  <c r="J454" i="1"/>
  <c r="L454" i="1"/>
  <c r="M454" i="1"/>
  <c r="V454" i="1"/>
  <c r="AE454" i="1"/>
  <c r="C455" i="1"/>
  <c r="E455" i="1"/>
  <c r="F455" i="1"/>
  <c r="H455" i="1"/>
  <c r="I455" i="1"/>
  <c r="J455" i="1"/>
  <c r="L455" i="1"/>
  <c r="M455" i="1"/>
  <c r="V455" i="1"/>
  <c r="AE455" i="1"/>
  <c r="C456" i="1"/>
  <c r="E456" i="1"/>
  <c r="F456" i="1"/>
  <c r="H456" i="1"/>
  <c r="I456" i="1"/>
  <c r="J456" i="1"/>
  <c r="L456" i="1"/>
  <c r="M456" i="1"/>
  <c r="V456" i="1"/>
  <c r="AE456" i="1"/>
  <c r="C457" i="1"/>
  <c r="E457" i="1"/>
  <c r="F457" i="1"/>
  <c r="H457" i="1"/>
  <c r="I457" i="1"/>
  <c r="J457" i="1"/>
  <c r="L457" i="1"/>
  <c r="M457" i="1"/>
  <c r="V457" i="1"/>
  <c r="AE457" i="1"/>
  <c r="C458" i="1"/>
  <c r="E458" i="1"/>
  <c r="F458" i="1"/>
  <c r="H458" i="1"/>
  <c r="I458" i="1"/>
  <c r="J458" i="1"/>
  <c r="L458" i="1"/>
  <c r="M458" i="1"/>
  <c r="V458" i="1"/>
  <c r="AE458" i="1"/>
  <c r="C459" i="1"/>
  <c r="E459" i="1"/>
  <c r="F459" i="1"/>
  <c r="H459" i="1"/>
  <c r="I459" i="1"/>
  <c r="J459" i="1"/>
  <c r="L459" i="1"/>
  <c r="M459" i="1"/>
  <c r="V459" i="1"/>
  <c r="AE459" i="1"/>
  <c r="C460" i="1"/>
  <c r="E460" i="1"/>
  <c r="F460" i="1"/>
  <c r="H460" i="1"/>
  <c r="I460" i="1"/>
  <c r="J460" i="1"/>
  <c r="L460" i="1"/>
  <c r="M460" i="1"/>
  <c r="V460" i="1"/>
  <c r="AE460" i="1"/>
  <c r="C461" i="1"/>
  <c r="E461" i="1"/>
  <c r="F461" i="1"/>
  <c r="H461" i="1"/>
  <c r="I461" i="1"/>
  <c r="J461" i="1"/>
  <c r="L461" i="1"/>
  <c r="M461" i="1"/>
  <c r="V461" i="1"/>
  <c r="AE461" i="1"/>
  <c r="C462" i="1"/>
  <c r="E462" i="1"/>
  <c r="F462" i="1"/>
  <c r="H462" i="1"/>
  <c r="I462" i="1"/>
  <c r="J462" i="1"/>
  <c r="L462" i="1"/>
  <c r="M462" i="1"/>
  <c r="V462" i="1"/>
  <c r="AE462" i="1"/>
  <c r="C463" i="1"/>
  <c r="E463" i="1"/>
  <c r="F463" i="1"/>
  <c r="H463" i="1"/>
  <c r="I463" i="1"/>
  <c r="J463" i="1"/>
  <c r="L463" i="1"/>
  <c r="M463" i="1"/>
  <c r="V463" i="1"/>
  <c r="AE463" i="1"/>
  <c r="C464" i="1"/>
  <c r="E464" i="1"/>
  <c r="F464" i="1"/>
  <c r="H464" i="1"/>
  <c r="I464" i="1"/>
  <c r="J464" i="1"/>
  <c r="L464" i="1"/>
  <c r="M464" i="1"/>
  <c r="V464" i="1"/>
  <c r="AE464" i="1"/>
  <c r="C465" i="1"/>
  <c r="E465" i="1"/>
  <c r="F465" i="1"/>
  <c r="H465" i="1"/>
  <c r="I465" i="1"/>
  <c r="J465" i="1"/>
  <c r="L465" i="1"/>
  <c r="M465" i="1"/>
  <c r="V465" i="1"/>
  <c r="AE465" i="1"/>
  <c r="C466" i="1"/>
  <c r="E466" i="1"/>
  <c r="F466" i="1"/>
  <c r="H466" i="1"/>
  <c r="I466" i="1"/>
  <c r="J466" i="1"/>
  <c r="L466" i="1"/>
  <c r="M466" i="1"/>
  <c r="V466" i="1"/>
  <c r="AE466" i="1"/>
  <c r="C467" i="1"/>
  <c r="E467" i="1"/>
  <c r="F467" i="1"/>
  <c r="H467" i="1"/>
  <c r="I467" i="1"/>
  <c r="J467" i="1"/>
  <c r="L467" i="1"/>
  <c r="M467" i="1"/>
  <c r="V467" i="1"/>
  <c r="AE467" i="1"/>
  <c r="C468" i="1"/>
  <c r="E468" i="1"/>
  <c r="F468" i="1"/>
  <c r="H468" i="1"/>
  <c r="I468" i="1"/>
  <c r="J468" i="1"/>
  <c r="L468" i="1"/>
  <c r="M468" i="1"/>
  <c r="V468" i="1"/>
  <c r="AE468" i="1"/>
  <c r="C469" i="1"/>
  <c r="E469" i="1"/>
  <c r="F469" i="1"/>
  <c r="H469" i="1"/>
  <c r="I469" i="1"/>
  <c r="J469" i="1"/>
  <c r="L469" i="1"/>
  <c r="M469" i="1"/>
  <c r="V469" i="1"/>
  <c r="AE469" i="1"/>
  <c r="C470" i="1"/>
  <c r="E470" i="1"/>
  <c r="F470" i="1"/>
  <c r="H470" i="1"/>
  <c r="I470" i="1"/>
  <c r="J470" i="1"/>
  <c r="L470" i="1"/>
  <c r="M470" i="1"/>
  <c r="V470" i="1"/>
  <c r="AE470" i="1"/>
  <c r="C471" i="1"/>
  <c r="E471" i="1"/>
  <c r="F471" i="1"/>
  <c r="H471" i="1"/>
  <c r="I471" i="1"/>
  <c r="J471" i="1"/>
  <c r="L471" i="1"/>
  <c r="M471" i="1"/>
  <c r="V471" i="1"/>
  <c r="AE471" i="1"/>
  <c r="C472" i="1"/>
  <c r="E472" i="1"/>
  <c r="F472" i="1"/>
  <c r="H472" i="1"/>
  <c r="I472" i="1"/>
  <c r="J472" i="1"/>
  <c r="L472" i="1"/>
  <c r="M472" i="1"/>
  <c r="V472" i="1"/>
  <c r="AE472" i="1"/>
  <c r="C473" i="1"/>
  <c r="E473" i="1"/>
  <c r="F473" i="1"/>
  <c r="H473" i="1"/>
  <c r="I473" i="1"/>
  <c r="J473" i="1"/>
  <c r="L473" i="1"/>
  <c r="M473" i="1"/>
  <c r="V473" i="1"/>
  <c r="AE473" i="1"/>
  <c r="C474" i="1"/>
  <c r="E474" i="1"/>
  <c r="F474" i="1"/>
  <c r="H474" i="1"/>
  <c r="I474" i="1"/>
  <c r="J474" i="1"/>
  <c r="L474" i="1"/>
  <c r="M474" i="1"/>
  <c r="V474" i="1"/>
  <c r="AE474" i="1"/>
  <c r="C475" i="1"/>
  <c r="E475" i="1"/>
  <c r="F475" i="1"/>
  <c r="H475" i="1"/>
  <c r="I475" i="1"/>
  <c r="J475" i="1"/>
  <c r="L475" i="1"/>
  <c r="M475" i="1"/>
  <c r="V475" i="1"/>
  <c r="AE475" i="1"/>
  <c r="C476" i="1"/>
  <c r="E476" i="1"/>
  <c r="F476" i="1"/>
  <c r="H476" i="1"/>
  <c r="I476" i="1"/>
  <c r="J476" i="1"/>
  <c r="L476" i="1"/>
  <c r="M476" i="1"/>
  <c r="V476" i="1"/>
  <c r="AE476" i="1"/>
  <c r="C477" i="1"/>
  <c r="E477" i="1"/>
  <c r="F477" i="1"/>
  <c r="H477" i="1"/>
  <c r="I477" i="1"/>
  <c r="J477" i="1"/>
  <c r="L477" i="1"/>
  <c r="M477" i="1"/>
  <c r="V477" i="1"/>
  <c r="AE477" i="1"/>
  <c r="C478" i="1"/>
  <c r="E478" i="1"/>
  <c r="F478" i="1"/>
  <c r="H478" i="1"/>
  <c r="I478" i="1"/>
  <c r="J478" i="1"/>
  <c r="L478" i="1"/>
  <c r="M478" i="1"/>
  <c r="V478" i="1"/>
  <c r="AE478" i="1"/>
  <c r="C479" i="1"/>
  <c r="E479" i="1"/>
  <c r="F479" i="1"/>
  <c r="H479" i="1"/>
  <c r="I479" i="1"/>
  <c r="J479" i="1"/>
  <c r="L479" i="1"/>
  <c r="M479" i="1"/>
  <c r="V479" i="1"/>
  <c r="AE479" i="1"/>
  <c r="C480" i="1"/>
  <c r="E480" i="1"/>
  <c r="F480" i="1"/>
  <c r="H480" i="1"/>
  <c r="I480" i="1"/>
  <c r="J480" i="1"/>
  <c r="L480" i="1"/>
  <c r="M480" i="1"/>
  <c r="V480" i="1"/>
  <c r="AE480" i="1"/>
  <c r="C481" i="1"/>
  <c r="E481" i="1"/>
  <c r="F481" i="1"/>
  <c r="H481" i="1"/>
  <c r="I481" i="1"/>
  <c r="J481" i="1"/>
  <c r="L481" i="1"/>
  <c r="M481" i="1"/>
  <c r="V481" i="1"/>
  <c r="AE481" i="1"/>
  <c r="C482" i="1"/>
  <c r="E482" i="1"/>
  <c r="F482" i="1"/>
  <c r="H482" i="1"/>
  <c r="I482" i="1"/>
  <c r="J482" i="1"/>
  <c r="L482" i="1"/>
  <c r="M482" i="1"/>
  <c r="V482" i="1"/>
  <c r="AE482" i="1"/>
  <c r="C483" i="1"/>
  <c r="E483" i="1"/>
  <c r="F483" i="1"/>
  <c r="H483" i="1"/>
  <c r="I483" i="1"/>
  <c r="J483" i="1"/>
  <c r="L483" i="1"/>
  <c r="M483" i="1"/>
  <c r="V483" i="1"/>
  <c r="AE483" i="1"/>
  <c r="C484" i="1"/>
  <c r="E484" i="1"/>
  <c r="F484" i="1"/>
  <c r="H484" i="1"/>
  <c r="I484" i="1"/>
  <c r="J484" i="1"/>
  <c r="L484" i="1"/>
  <c r="M484" i="1"/>
  <c r="V484" i="1"/>
  <c r="AE484" i="1"/>
  <c r="C485" i="1"/>
  <c r="E485" i="1"/>
  <c r="F485" i="1"/>
  <c r="H485" i="1"/>
  <c r="I485" i="1"/>
  <c r="J485" i="1"/>
  <c r="L485" i="1"/>
  <c r="M485" i="1"/>
  <c r="V485" i="1"/>
  <c r="AE485" i="1"/>
  <c r="C486" i="1"/>
  <c r="E486" i="1"/>
  <c r="F486" i="1"/>
  <c r="H486" i="1"/>
  <c r="I486" i="1"/>
  <c r="J486" i="1"/>
  <c r="L486" i="1"/>
  <c r="M486" i="1"/>
  <c r="V486" i="1"/>
  <c r="AE486" i="1"/>
  <c r="C487" i="1"/>
  <c r="E487" i="1"/>
  <c r="F487" i="1"/>
  <c r="H487" i="1"/>
  <c r="I487" i="1"/>
  <c r="J487" i="1"/>
  <c r="L487" i="1"/>
  <c r="M487" i="1"/>
  <c r="V487" i="1"/>
  <c r="AE487" i="1"/>
  <c r="C488" i="1"/>
  <c r="E488" i="1"/>
  <c r="F488" i="1"/>
  <c r="H488" i="1"/>
  <c r="I488" i="1"/>
  <c r="J488" i="1"/>
  <c r="L488" i="1"/>
  <c r="M488" i="1"/>
  <c r="V488" i="1"/>
  <c r="AE488" i="1"/>
  <c r="C489" i="1"/>
  <c r="E489" i="1"/>
  <c r="F489" i="1"/>
  <c r="H489" i="1"/>
  <c r="I489" i="1"/>
  <c r="J489" i="1"/>
  <c r="L489" i="1"/>
  <c r="M489" i="1"/>
  <c r="V489" i="1"/>
  <c r="AE489" i="1"/>
  <c r="C490" i="1"/>
  <c r="E490" i="1"/>
  <c r="F490" i="1"/>
  <c r="H490" i="1"/>
  <c r="I490" i="1"/>
  <c r="J490" i="1"/>
  <c r="L490" i="1"/>
  <c r="M490" i="1"/>
  <c r="V490" i="1"/>
  <c r="AE490" i="1"/>
  <c r="C491" i="1"/>
  <c r="E491" i="1"/>
  <c r="F491" i="1"/>
  <c r="H491" i="1"/>
  <c r="I491" i="1"/>
  <c r="J491" i="1"/>
  <c r="L491" i="1"/>
  <c r="M491" i="1"/>
  <c r="V491" i="1"/>
  <c r="AE491" i="1"/>
  <c r="C492" i="1"/>
  <c r="E492" i="1"/>
  <c r="F492" i="1"/>
  <c r="H492" i="1"/>
  <c r="I492" i="1"/>
  <c r="J492" i="1"/>
  <c r="L492" i="1"/>
  <c r="M492" i="1"/>
  <c r="V492" i="1"/>
  <c r="AE492" i="1"/>
  <c r="C493" i="1"/>
  <c r="E493" i="1"/>
  <c r="F493" i="1"/>
  <c r="H493" i="1"/>
  <c r="I493" i="1"/>
  <c r="J493" i="1"/>
  <c r="L493" i="1"/>
  <c r="M493" i="1"/>
  <c r="V493" i="1"/>
  <c r="AE493" i="1"/>
  <c r="C494" i="1"/>
  <c r="E494" i="1"/>
  <c r="F494" i="1"/>
  <c r="H494" i="1"/>
  <c r="I494" i="1"/>
  <c r="J494" i="1"/>
  <c r="L494" i="1"/>
  <c r="M494" i="1"/>
  <c r="V494" i="1"/>
  <c r="AE494" i="1"/>
  <c r="C495" i="1"/>
  <c r="E495" i="1"/>
  <c r="F495" i="1"/>
  <c r="H495" i="1"/>
  <c r="I495" i="1"/>
  <c r="J495" i="1"/>
  <c r="L495" i="1"/>
  <c r="M495" i="1"/>
  <c r="V495" i="1"/>
  <c r="AE495" i="1"/>
  <c r="C496" i="1"/>
  <c r="E496" i="1"/>
  <c r="F496" i="1"/>
  <c r="H496" i="1"/>
  <c r="I496" i="1"/>
  <c r="J496" i="1"/>
  <c r="L496" i="1"/>
  <c r="M496" i="1"/>
  <c r="V496" i="1"/>
  <c r="AE496" i="1"/>
  <c r="C497" i="1"/>
  <c r="E497" i="1"/>
  <c r="F497" i="1"/>
  <c r="H497" i="1"/>
  <c r="I497" i="1"/>
  <c r="J497" i="1"/>
  <c r="L497" i="1"/>
  <c r="M497" i="1"/>
  <c r="V497" i="1"/>
  <c r="AE497" i="1"/>
  <c r="C498" i="1"/>
  <c r="E498" i="1"/>
  <c r="F498" i="1"/>
  <c r="H498" i="1"/>
  <c r="I498" i="1"/>
  <c r="J498" i="1"/>
  <c r="L498" i="1"/>
  <c r="M498" i="1"/>
  <c r="V498" i="1"/>
  <c r="AE498" i="1"/>
  <c r="C499" i="1"/>
  <c r="E499" i="1"/>
  <c r="F499" i="1"/>
  <c r="H499" i="1"/>
  <c r="I499" i="1"/>
  <c r="J499" i="1"/>
  <c r="L499" i="1"/>
  <c r="M499" i="1"/>
  <c r="V499" i="1"/>
  <c r="AE499" i="1"/>
  <c r="C500" i="1"/>
  <c r="E500" i="1"/>
  <c r="F500" i="1"/>
  <c r="H500" i="1"/>
  <c r="I500" i="1"/>
  <c r="J500" i="1"/>
  <c r="L500" i="1"/>
  <c r="M500" i="1"/>
  <c r="V500" i="1"/>
  <c r="AE500" i="1"/>
  <c r="C501" i="1"/>
  <c r="E501" i="1"/>
  <c r="F501" i="1"/>
  <c r="H501" i="1"/>
  <c r="I501" i="1"/>
  <c r="J501" i="1"/>
  <c r="L501" i="1"/>
  <c r="M501" i="1"/>
  <c r="V501" i="1"/>
  <c r="AE501" i="1"/>
  <c r="C502" i="1"/>
  <c r="E502" i="1"/>
  <c r="F502" i="1"/>
  <c r="H502" i="1"/>
  <c r="I502" i="1"/>
  <c r="J502" i="1"/>
  <c r="L502" i="1"/>
  <c r="M502" i="1"/>
  <c r="V502" i="1"/>
  <c r="AE502" i="1"/>
  <c r="C503" i="1"/>
  <c r="E503" i="1"/>
  <c r="F503" i="1"/>
  <c r="H503" i="1"/>
  <c r="I503" i="1"/>
  <c r="J503" i="1"/>
  <c r="L503" i="1"/>
  <c r="M503" i="1"/>
  <c r="V503" i="1"/>
  <c r="AE503" i="1"/>
  <c r="C504" i="1"/>
  <c r="E504" i="1"/>
  <c r="F504" i="1"/>
  <c r="H504" i="1"/>
  <c r="I504" i="1"/>
  <c r="J504" i="1"/>
  <c r="L504" i="1"/>
  <c r="M504" i="1"/>
  <c r="V504" i="1"/>
  <c r="AE504" i="1"/>
  <c r="C505" i="1"/>
  <c r="E505" i="1"/>
  <c r="F505" i="1"/>
  <c r="H505" i="1"/>
  <c r="I505" i="1"/>
  <c r="J505" i="1"/>
  <c r="L505" i="1"/>
  <c r="M505" i="1"/>
  <c r="V505" i="1"/>
  <c r="AE505" i="1"/>
  <c r="C506" i="1"/>
  <c r="E506" i="1"/>
  <c r="F506" i="1"/>
  <c r="H506" i="1"/>
  <c r="I506" i="1"/>
  <c r="J506" i="1"/>
  <c r="L506" i="1"/>
  <c r="M506" i="1"/>
  <c r="V506" i="1"/>
  <c r="AE506" i="1"/>
  <c r="C507" i="1"/>
  <c r="E507" i="1"/>
  <c r="F507" i="1"/>
  <c r="H507" i="1"/>
  <c r="I507" i="1"/>
  <c r="J507" i="1"/>
  <c r="L507" i="1"/>
  <c r="M507" i="1"/>
  <c r="V507" i="1"/>
  <c r="AE507" i="1"/>
  <c r="C508" i="1"/>
  <c r="E508" i="1"/>
  <c r="F508" i="1"/>
  <c r="H508" i="1"/>
  <c r="I508" i="1"/>
  <c r="J508" i="1"/>
  <c r="L508" i="1"/>
  <c r="M508" i="1"/>
  <c r="V508" i="1"/>
  <c r="AE508" i="1"/>
  <c r="C509" i="1"/>
  <c r="E509" i="1"/>
  <c r="F509" i="1"/>
  <c r="H509" i="1"/>
  <c r="I509" i="1"/>
  <c r="J509" i="1"/>
  <c r="L509" i="1"/>
  <c r="M509" i="1"/>
  <c r="V509" i="1"/>
  <c r="AE509" i="1"/>
  <c r="C510" i="1"/>
  <c r="E510" i="1"/>
  <c r="F510" i="1"/>
  <c r="H510" i="1"/>
  <c r="I510" i="1"/>
  <c r="J510" i="1"/>
  <c r="L510" i="1"/>
  <c r="M510" i="1"/>
  <c r="V510" i="1"/>
  <c r="AE510" i="1"/>
  <c r="C511" i="1"/>
  <c r="E511" i="1"/>
  <c r="F511" i="1"/>
  <c r="H511" i="1"/>
  <c r="I511" i="1"/>
  <c r="J511" i="1"/>
  <c r="L511" i="1"/>
  <c r="M511" i="1"/>
  <c r="V511" i="1"/>
  <c r="AE511" i="1"/>
  <c r="C512" i="1"/>
  <c r="E512" i="1"/>
  <c r="F512" i="1"/>
  <c r="H512" i="1"/>
  <c r="I512" i="1"/>
  <c r="J512" i="1"/>
  <c r="L512" i="1"/>
  <c r="M512" i="1"/>
  <c r="V512" i="1"/>
  <c r="AE512" i="1"/>
  <c r="C513" i="1"/>
  <c r="E513" i="1"/>
  <c r="F513" i="1"/>
  <c r="H513" i="1"/>
  <c r="I513" i="1"/>
  <c r="J513" i="1"/>
  <c r="L513" i="1"/>
  <c r="M513" i="1"/>
  <c r="V513" i="1"/>
  <c r="AE513" i="1"/>
  <c r="C514" i="1"/>
  <c r="E514" i="1"/>
  <c r="F514" i="1"/>
  <c r="H514" i="1"/>
  <c r="I514" i="1"/>
  <c r="J514" i="1"/>
  <c r="L514" i="1"/>
  <c r="M514" i="1"/>
  <c r="V514" i="1"/>
  <c r="AE514" i="1"/>
  <c r="C515" i="1"/>
  <c r="E515" i="1"/>
  <c r="F515" i="1"/>
  <c r="H515" i="1"/>
  <c r="I515" i="1"/>
  <c r="J515" i="1"/>
  <c r="L515" i="1"/>
  <c r="M515" i="1"/>
  <c r="V515" i="1"/>
  <c r="AE515" i="1"/>
  <c r="C516" i="1"/>
  <c r="E516" i="1"/>
  <c r="F516" i="1"/>
  <c r="H516" i="1"/>
  <c r="I516" i="1"/>
  <c r="J516" i="1"/>
  <c r="L516" i="1"/>
  <c r="M516" i="1"/>
  <c r="V516" i="1"/>
  <c r="AE516" i="1"/>
  <c r="C517" i="1"/>
  <c r="E517" i="1"/>
  <c r="F517" i="1"/>
  <c r="H517" i="1"/>
  <c r="I517" i="1"/>
  <c r="J517" i="1"/>
  <c r="L517" i="1"/>
  <c r="M517" i="1"/>
  <c r="V517" i="1"/>
  <c r="AE517" i="1"/>
  <c r="C518" i="1"/>
  <c r="E518" i="1"/>
  <c r="F518" i="1"/>
  <c r="H518" i="1"/>
  <c r="I518" i="1"/>
  <c r="J518" i="1"/>
  <c r="L518" i="1"/>
  <c r="M518" i="1"/>
  <c r="V518" i="1"/>
  <c r="AE518" i="1"/>
  <c r="C519" i="1"/>
  <c r="E519" i="1"/>
  <c r="F519" i="1"/>
  <c r="H519" i="1"/>
  <c r="I519" i="1"/>
  <c r="J519" i="1"/>
  <c r="L519" i="1"/>
  <c r="M519" i="1"/>
  <c r="V519" i="1"/>
  <c r="AE519" i="1"/>
  <c r="C520" i="1"/>
  <c r="E520" i="1"/>
  <c r="F520" i="1"/>
  <c r="H520" i="1"/>
  <c r="I520" i="1"/>
  <c r="J520" i="1"/>
  <c r="L520" i="1"/>
  <c r="M520" i="1"/>
  <c r="V520" i="1"/>
  <c r="AE520" i="1"/>
  <c r="C521" i="1"/>
  <c r="E521" i="1"/>
  <c r="F521" i="1"/>
  <c r="H521" i="1"/>
  <c r="I521" i="1"/>
  <c r="J521" i="1"/>
  <c r="L521" i="1"/>
  <c r="M521" i="1"/>
  <c r="V521" i="1"/>
  <c r="AE521" i="1"/>
  <c r="C522" i="1"/>
  <c r="E522" i="1"/>
  <c r="F522" i="1"/>
  <c r="H522" i="1"/>
  <c r="I522" i="1"/>
  <c r="J522" i="1"/>
  <c r="L522" i="1"/>
  <c r="M522" i="1"/>
  <c r="V522" i="1"/>
  <c r="AE522" i="1"/>
  <c r="C523" i="1"/>
  <c r="E523" i="1"/>
  <c r="F523" i="1"/>
  <c r="H523" i="1"/>
  <c r="I523" i="1"/>
  <c r="J523" i="1"/>
  <c r="L523" i="1"/>
  <c r="M523" i="1"/>
  <c r="V523" i="1"/>
  <c r="AE523" i="1"/>
  <c r="C524" i="1"/>
  <c r="E524" i="1"/>
  <c r="F524" i="1"/>
  <c r="H524" i="1"/>
  <c r="I524" i="1"/>
  <c r="J524" i="1"/>
  <c r="L524" i="1"/>
  <c r="M524" i="1"/>
  <c r="V524" i="1"/>
  <c r="AE524" i="1"/>
  <c r="C525" i="1"/>
  <c r="E525" i="1"/>
  <c r="F525" i="1"/>
  <c r="H525" i="1"/>
  <c r="I525" i="1"/>
  <c r="J525" i="1"/>
  <c r="L525" i="1"/>
  <c r="M525" i="1"/>
  <c r="V525" i="1"/>
  <c r="AE525" i="1"/>
  <c r="C526" i="1"/>
  <c r="E526" i="1"/>
  <c r="F526" i="1"/>
  <c r="H526" i="1"/>
  <c r="I526" i="1"/>
  <c r="J526" i="1"/>
  <c r="L526" i="1"/>
  <c r="M526" i="1"/>
  <c r="V526" i="1"/>
  <c r="AE526" i="1"/>
  <c r="C527" i="1"/>
  <c r="E527" i="1"/>
  <c r="F527" i="1"/>
  <c r="H527" i="1"/>
  <c r="I527" i="1"/>
  <c r="J527" i="1"/>
  <c r="L527" i="1"/>
  <c r="M527" i="1"/>
  <c r="V527" i="1"/>
  <c r="AE527" i="1"/>
  <c r="C528" i="1"/>
  <c r="E528" i="1"/>
  <c r="F528" i="1"/>
  <c r="H528" i="1"/>
  <c r="I528" i="1"/>
  <c r="J528" i="1"/>
  <c r="L528" i="1"/>
  <c r="M528" i="1"/>
  <c r="V528" i="1"/>
  <c r="AE528" i="1"/>
  <c r="C529" i="1"/>
  <c r="E529" i="1"/>
  <c r="F529" i="1"/>
  <c r="H529" i="1"/>
  <c r="I529" i="1"/>
  <c r="J529" i="1"/>
  <c r="L529" i="1"/>
  <c r="M529" i="1"/>
  <c r="V529" i="1"/>
  <c r="AE529" i="1"/>
  <c r="C530" i="1"/>
  <c r="E530" i="1"/>
  <c r="F530" i="1"/>
  <c r="H530" i="1"/>
  <c r="I530" i="1"/>
  <c r="J530" i="1"/>
  <c r="L530" i="1"/>
  <c r="M530" i="1"/>
  <c r="V530" i="1"/>
  <c r="AE530" i="1"/>
  <c r="C531" i="1"/>
  <c r="E531" i="1"/>
  <c r="F531" i="1"/>
  <c r="H531" i="1"/>
  <c r="I531" i="1"/>
  <c r="J531" i="1"/>
  <c r="L531" i="1"/>
  <c r="M531" i="1"/>
  <c r="V531" i="1"/>
  <c r="AE531" i="1"/>
  <c r="C532" i="1"/>
  <c r="E532" i="1"/>
  <c r="F532" i="1"/>
  <c r="H532" i="1"/>
  <c r="I532" i="1"/>
  <c r="J532" i="1"/>
  <c r="L532" i="1"/>
  <c r="M532" i="1"/>
  <c r="V532" i="1"/>
  <c r="AE532" i="1"/>
  <c r="C533" i="1"/>
  <c r="E533" i="1"/>
  <c r="F533" i="1"/>
  <c r="H533" i="1"/>
  <c r="I533" i="1"/>
  <c r="J533" i="1"/>
  <c r="L533" i="1"/>
  <c r="M533" i="1"/>
  <c r="V533" i="1"/>
  <c r="AE533" i="1"/>
  <c r="C534" i="1"/>
  <c r="E534" i="1"/>
  <c r="F534" i="1"/>
  <c r="H534" i="1"/>
  <c r="I534" i="1"/>
  <c r="J534" i="1"/>
  <c r="L534" i="1"/>
  <c r="M534" i="1"/>
  <c r="V534" i="1"/>
  <c r="AE534" i="1"/>
  <c r="C535" i="1"/>
  <c r="E535" i="1"/>
  <c r="F535" i="1"/>
  <c r="H535" i="1"/>
  <c r="I535" i="1"/>
  <c r="J535" i="1"/>
  <c r="L535" i="1"/>
  <c r="M535" i="1"/>
  <c r="V535" i="1"/>
  <c r="AE535" i="1"/>
  <c r="C536" i="1"/>
  <c r="E536" i="1"/>
  <c r="F536" i="1"/>
  <c r="H536" i="1"/>
  <c r="I536" i="1"/>
  <c r="J536" i="1"/>
  <c r="L536" i="1"/>
  <c r="M536" i="1"/>
  <c r="V536" i="1"/>
  <c r="AE536" i="1"/>
  <c r="C537" i="1"/>
  <c r="E537" i="1"/>
  <c r="F537" i="1"/>
  <c r="H537" i="1"/>
  <c r="I537" i="1"/>
  <c r="J537" i="1"/>
  <c r="L537" i="1"/>
  <c r="M537" i="1"/>
  <c r="V537" i="1"/>
  <c r="AE537" i="1"/>
  <c r="C538" i="1"/>
  <c r="E538" i="1"/>
  <c r="F538" i="1"/>
  <c r="H538" i="1"/>
  <c r="I538" i="1"/>
  <c r="J538" i="1"/>
  <c r="L538" i="1"/>
  <c r="M538" i="1"/>
  <c r="V538" i="1"/>
  <c r="AE538" i="1"/>
  <c r="C539" i="1"/>
  <c r="E539" i="1"/>
  <c r="F539" i="1"/>
  <c r="H539" i="1"/>
  <c r="I539" i="1"/>
  <c r="J539" i="1"/>
  <c r="L539" i="1"/>
  <c r="M539" i="1"/>
  <c r="V539" i="1"/>
  <c r="AE539" i="1"/>
  <c r="C540" i="1"/>
  <c r="E540" i="1"/>
  <c r="F540" i="1"/>
  <c r="H540" i="1"/>
  <c r="I540" i="1"/>
  <c r="J540" i="1"/>
  <c r="L540" i="1"/>
  <c r="M540" i="1"/>
  <c r="V540" i="1"/>
  <c r="AE540" i="1"/>
  <c r="C541" i="1"/>
  <c r="E541" i="1"/>
  <c r="F541" i="1"/>
  <c r="H541" i="1"/>
  <c r="I541" i="1"/>
  <c r="J541" i="1"/>
  <c r="L541" i="1"/>
  <c r="M541" i="1"/>
  <c r="V541" i="1"/>
  <c r="AE541" i="1"/>
  <c r="C542" i="1"/>
  <c r="E542" i="1"/>
  <c r="F542" i="1"/>
  <c r="H542" i="1"/>
  <c r="I542" i="1"/>
  <c r="J542" i="1"/>
  <c r="L542" i="1"/>
  <c r="M542" i="1"/>
  <c r="V542" i="1"/>
  <c r="AE542" i="1"/>
  <c r="C543" i="1"/>
  <c r="E543" i="1"/>
  <c r="F543" i="1"/>
  <c r="H543" i="1"/>
  <c r="I543" i="1"/>
  <c r="J543" i="1"/>
  <c r="L543" i="1"/>
  <c r="M543" i="1"/>
  <c r="V543" i="1"/>
  <c r="AE543" i="1"/>
  <c r="C544" i="1"/>
  <c r="E544" i="1"/>
  <c r="F544" i="1"/>
  <c r="H544" i="1"/>
  <c r="I544" i="1"/>
  <c r="J544" i="1"/>
  <c r="L544" i="1"/>
  <c r="M544" i="1"/>
  <c r="V544" i="1"/>
  <c r="AE544" i="1"/>
  <c r="C545" i="1"/>
  <c r="E545" i="1"/>
  <c r="F545" i="1"/>
  <c r="H545" i="1"/>
  <c r="I545" i="1"/>
  <c r="J545" i="1"/>
  <c r="L545" i="1"/>
  <c r="M545" i="1"/>
  <c r="V545" i="1"/>
  <c r="AE545" i="1"/>
  <c r="C546" i="1"/>
  <c r="E546" i="1"/>
  <c r="F546" i="1"/>
  <c r="H546" i="1"/>
  <c r="I546" i="1"/>
  <c r="J546" i="1"/>
  <c r="L546" i="1"/>
  <c r="M546" i="1"/>
  <c r="V546" i="1"/>
  <c r="AE546" i="1"/>
  <c r="C547" i="1"/>
  <c r="E547" i="1"/>
  <c r="F547" i="1"/>
  <c r="H547" i="1"/>
  <c r="I547" i="1"/>
  <c r="J547" i="1"/>
  <c r="L547" i="1"/>
  <c r="M547" i="1"/>
  <c r="V547" i="1"/>
  <c r="AE547" i="1"/>
  <c r="C548" i="1"/>
  <c r="E548" i="1"/>
  <c r="F548" i="1"/>
  <c r="H548" i="1"/>
  <c r="I548" i="1"/>
  <c r="J548" i="1"/>
  <c r="L548" i="1"/>
  <c r="M548" i="1"/>
  <c r="V548" i="1"/>
  <c r="AE548" i="1"/>
  <c r="C549" i="1"/>
  <c r="E549" i="1"/>
  <c r="F549" i="1"/>
  <c r="H549" i="1"/>
  <c r="I549" i="1"/>
  <c r="J549" i="1"/>
  <c r="L549" i="1"/>
  <c r="M549" i="1"/>
  <c r="V549" i="1"/>
  <c r="AE549" i="1"/>
  <c r="C550" i="1"/>
  <c r="E550" i="1"/>
  <c r="F550" i="1"/>
  <c r="H550" i="1"/>
  <c r="I550" i="1"/>
  <c r="J550" i="1"/>
  <c r="L550" i="1"/>
  <c r="M550" i="1"/>
  <c r="V550" i="1"/>
  <c r="AE550" i="1"/>
  <c r="C551" i="1"/>
  <c r="E551" i="1"/>
  <c r="F551" i="1"/>
  <c r="H551" i="1"/>
  <c r="I551" i="1"/>
  <c r="J551" i="1"/>
  <c r="L551" i="1"/>
  <c r="M551" i="1"/>
  <c r="V551" i="1"/>
  <c r="AE551" i="1"/>
  <c r="C552" i="1"/>
  <c r="E552" i="1"/>
  <c r="F552" i="1"/>
  <c r="H552" i="1"/>
  <c r="I552" i="1"/>
  <c r="J552" i="1"/>
  <c r="L552" i="1"/>
  <c r="M552" i="1"/>
  <c r="V552" i="1"/>
  <c r="AE552" i="1"/>
  <c r="C553" i="1"/>
  <c r="E553" i="1"/>
  <c r="F553" i="1"/>
  <c r="H553" i="1"/>
  <c r="I553" i="1"/>
  <c r="J553" i="1"/>
  <c r="L553" i="1"/>
  <c r="M553" i="1"/>
  <c r="V553" i="1"/>
  <c r="AE553" i="1"/>
  <c r="C554" i="1"/>
  <c r="E554" i="1"/>
  <c r="F554" i="1"/>
  <c r="H554" i="1"/>
  <c r="I554" i="1"/>
  <c r="J554" i="1"/>
  <c r="L554" i="1"/>
  <c r="M554" i="1"/>
  <c r="V554" i="1"/>
  <c r="AE554" i="1"/>
  <c r="C555" i="1"/>
  <c r="E555" i="1"/>
  <c r="F555" i="1"/>
  <c r="H555" i="1"/>
  <c r="I555" i="1"/>
  <c r="J555" i="1"/>
  <c r="L555" i="1"/>
  <c r="M555" i="1"/>
  <c r="V555" i="1"/>
  <c r="AE555" i="1"/>
  <c r="C556" i="1"/>
  <c r="E556" i="1"/>
  <c r="F556" i="1"/>
  <c r="H556" i="1"/>
  <c r="I556" i="1"/>
  <c r="J556" i="1"/>
  <c r="L556" i="1"/>
  <c r="M556" i="1"/>
  <c r="V556" i="1"/>
  <c r="AE556" i="1"/>
  <c r="C557" i="1"/>
  <c r="E557" i="1"/>
  <c r="F557" i="1"/>
  <c r="H557" i="1"/>
  <c r="I557" i="1"/>
  <c r="J557" i="1"/>
  <c r="L557" i="1"/>
  <c r="M557" i="1"/>
  <c r="V557" i="1"/>
  <c r="AE557" i="1"/>
  <c r="C558" i="1"/>
  <c r="E558" i="1"/>
  <c r="F558" i="1"/>
  <c r="H558" i="1"/>
  <c r="I558" i="1"/>
  <c r="J558" i="1"/>
  <c r="L558" i="1"/>
  <c r="M558" i="1"/>
  <c r="V558" i="1"/>
  <c r="AE558" i="1"/>
  <c r="C559" i="1"/>
  <c r="E559" i="1"/>
  <c r="F559" i="1"/>
  <c r="H559" i="1"/>
  <c r="I559" i="1"/>
  <c r="J559" i="1"/>
  <c r="L559" i="1"/>
  <c r="M559" i="1"/>
  <c r="V559" i="1"/>
  <c r="AE559" i="1"/>
  <c r="C560" i="1"/>
  <c r="E560" i="1"/>
  <c r="F560" i="1"/>
  <c r="H560" i="1"/>
  <c r="I560" i="1"/>
  <c r="J560" i="1"/>
  <c r="L560" i="1"/>
  <c r="M560" i="1"/>
  <c r="V560" i="1"/>
  <c r="AE560" i="1"/>
  <c r="C561" i="1"/>
  <c r="E561" i="1"/>
  <c r="F561" i="1"/>
  <c r="H561" i="1"/>
  <c r="I561" i="1"/>
  <c r="J561" i="1"/>
  <c r="L561" i="1"/>
  <c r="M561" i="1"/>
  <c r="V561" i="1"/>
  <c r="AE561" i="1"/>
  <c r="C562" i="1"/>
  <c r="E562" i="1"/>
  <c r="F562" i="1"/>
  <c r="H562" i="1"/>
  <c r="I562" i="1"/>
  <c r="J562" i="1"/>
  <c r="L562" i="1"/>
  <c r="M562" i="1"/>
  <c r="V562" i="1"/>
  <c r="AE562" i="1"/>
  <c r="C563" i="1"/>
  <c r="E563" i="1"/>
  <c r="F563" i="1"/>
  <c r="H563" i="1"/>
  <c r="I563" i="1"/>
  <c r="J563" i="1"/>
  <c r="L563" i="1"/>
  <c r="M563" i="1"/>
  <c r="V563" i="1"/>
  <c r="AE563" i="1"/>
  <c r="C564" i="1"/>
  <c r="E564" i="1"/>
  <c r="F564" i="1"/>
  <c r="H564" i="1"/>
  <c r="I564" i="1"/>
  <c r="J564" i="1"/>
  <c r="L564" i="1"/>
  <c r="M564" i="1"/>
  <c r="V564" i="1"/>
  <c r="AE564" i="1"/>
  <c r="C565" i="1"/>
  <c r="E565" i="1"/>
  <c r="F565" i="1"/>
  <c r="H565" i="1"/>
  <c r="I565" i="1"/>
  <c r="J565" i="1"/>
  <c r="L565" i="1"/>
  <c r="M565" i="1"/>
  <c r="V565" i="1"/>
  <c r="AE565" i="1"/>
  <c r="C566" i="1"/>
  <c r="E566" i="1"/>
  <c r="F566" i="1"/>
  <c r="H566" i="1"/>
  <c r="I566" i="1"/>
  <c r="J566" i="1"/>
  <c r="L566" i="1"/>
  <c r="M566" i="1"/>
  <c r="V566" i="1"/>
  <c r="AE566" i="1"/>
  <c r="C567" i="1"/>
  <c r="E567" i="1"/>
  <c r="F567" i="1"/>
  <c r="H567" i="1"/>
  <c r="I567" i="1"/>
  <c r="J567" i="1"/>
  <c r="L567" i="1"/>
  <c r="M567" i="1"/>
  <c r="V567" i="1"/>
  <c r="AE567" i="1"/>
  <c r="C568" i="1"/>
  <c r="E568" i="1"/>
  <c r="F568" i="1"/>
  <c r="H568" i="1"/>
  <c r="I568" i="1"/>
  <c r="J568" i="1"/>
  <c r="L568" i="1"/>
  <c r="M568" i="1"/>
  <c r="V568" i="1"/>
  <c r="AE568" i="1"/>
  <c r="C569" i="1"/>
  <c r="E569" i="1"/>
  <c r="F569" i="1"/>
  <c r="H569" i="1"/>
  <c r="I569" i="1"/>
  <c r="J569" i="1"/>
  <c r="L569" i="1"/>
  <c r="M569" i="1"/>
  <c r="V569" i="1"/>
  <c r="AE569" i="1"/>
  <c r="C570" i="1"/>
  <c r="E570" i="1"/>
  <c r="F570" i="1"/>
  <c r="H570" i="1"/>
  <c r="I570" i="1"/>
  <c r="J570" i="1"/>
  <c r="L570" i="1"/>
  <c r="M570" i="1"/>
  <c r="V570" i="1"/>
  <c r="AE570" i="1"/>
  <c r="C571" i="1"/>
  <c r="E571" i="1"/>
  <c r="F571" i="1"/>
  <c r="H571" i="1"/>
  <c r="I571" i="1"/>
  <c r="J571" i="1"/>
  <c r="L571" i="1"/>
  <c r="M571" i="1"/>
  <c r="V571" i="1"/>
  <c r="AE571" i="1"/>
  <c r="C572" i="1"/>
  <c r="E572" i="1"/>
  <c r="F572" i="1"/>
  <c r="H572" i="1"/>
  <c r="I572" i="1"/>
  <c r="J572" i="1"/>
  <c r="L572" i="1"/>
  <c r="M572" i="1"/>
  <c r="V572" i="1"/>
  <c r="AE572" i="1"/>
  <c r="C573" i="1"/>
  <c r="E573" i="1"/>
  <c r="F573" i="1"/>
  <c r="H573" i="1"/>
  <c r="I573" i="1"/>
  <c r="J573" i="1"/>
  <c r="L573" i="1"/>
  <c r="M573" i="1"/>
  <c r="V573" i="1"/>
  <c r="AE573" i="1"/>
  <c r="C574" i="1"/>
  <c r="E574" i="1"/>
  <c r="F574" i="1"/>
  <c r="H574" i="1"/>
  <c r="I574" i="1"/>
  <c r="J574" i="1"/>
  <c r="L574" i="1"/>
  <c r="M574" i="1"/>
  <c r="V574" i="1"/>
  <c r="AE574" i="1"/>
  <c r="C575" i="1"/>
  <c r="E575" i="1"/>
  <c r="F575" i="1"/>
  <c r="H575" i="1"/>
  <c r="I575" i="1"/>
  <c r="J575" i="1"/>
  <c r="L575" i="1"/>
  <c r="M575" i="1"/>
  <c r="V575" i="1"/>
  <c r="AE575" i="1"/>
  <c r="C576" i="1"/>
  <c r="E576" i="1"/>
  <c r="F576" i="1"/>
  <c r="H576" i="1"/>
  <c r="I576" i="1"/>
  <c r="J576" i="1"/>
  <c r="L576" i="1"/>
  <c r="M576" i="1"/>
  <c r="V576" i="1"/>
  <c r="AE576" i="1"/>
  <c r="C577" i="1"/>
  <c r="E577" i="1"/>
  <c r="F577" i="1"/>
  <c r="H577" i="1"/>
  <c r="I577" i="1"/>
  <c r="J577" i="1"/>
  <c r="L577" i="1"/>
  <c r="M577" i="1"/>
  <c r="V577" i="1"/>
  <c r="AE577" i="1"/>
  <c r="C578" i="1"/>
  <c r="E578" i="1"/>
  <c r="F578" i="1"/>
  <c r="H578" i="1"/>
  <c r="I578" i="1"/>
  <c r="J578" i="1"/>
  <c r="L578" i="1"/>
  <c r="M578" i="1"/>
  <c r="V578" i="1"/>
  <c r="AE578" i="1"/>
  <c r="C579" i="1"/>
  <c r="E579" i="1"/>
  <c r="F579" i="1"/>
  <c r="H579" i="1"/>
  <c r="I579" i="1"/>
  <c r="J579" i="1"/>
  <c r="L579" i="1"/>
  <c r="M579" i="1"/>
  <c r="V579" i="1"/>
  <c r="AE579" i="1"/>
  <c r="C580" i="1"/>
  <c r="E580" i="1"/>
  <c r="F580" i="1"/>
  <c r="H580" i="1"/>
  <c r="I580" i="1"/>
  <c r="J580" i="1"/>
  <c r="L580" i="1"/>
  <c r="M580" i="1"/>
  <c r="V580" i="1"/>
  <c r="AE580" i="1"/>
  <c r="C581" i="1"/>
  <c r="E581" i="1"/>
  <c r="F581" i="1"/>
  <c r="H581" i="1"/>
  <c r="I581" i="1"/>
  <c r="J581" i="1"/>
  <c r="L581" i="1"/>
  <c r="M581" i="1"/>
  <c r="V581" i="1"/>
  <c r="AE581" i="1"/>
  <c r="C582" i="1"/>
  <c r="E582" i="1"/>
  <c r="F582" i="1"/>
  <c r="H582" i="1"/>
  <c r="I582" i="1"/>
  <c r="J582" i="1"/>
  <c r="L582" i="1"/>
  <c r="M582" i="1"/>
  <c r="V582" i="1"/>
  <c r="AE582" i="1"/>
  <c r="C583" i="1"/>
  <c r="E583" i="1"/>
  <c r="F583" i="1"/>
  <c r="H583" i="1"/>
  <c r="I583" i="1"/>
  <c r="J583" i="1"/>
  <c r="L583" i="1"/>
  <c r="M583" i="1"/>
  <c r="V583" i="1"/>
  <c r="AE583" i="1"/>
  <c r="C584" i="1"/>
  <c r="E584" i="1"/>
  <c r="F584" i="1"/>
  <c r="H584" i="1"/>
  <c r="I584" i="1"/>
  <c r="J584" i="1"/>
  <c r="L584" i="1"/>
  <c r="M584" i="1"/>
  <c r="V584" i="1"/>
  <c r="AE584" i="1"/>
  <c r="C585" i="1"/>
  <c r="E585" i="1"/>
  <c r="F585" i="1"/>
  <c r="H585" i="1"/>
  <c r="I585" i="1"/>
  <c r="J585" i="1"/>
  <c r="L585" i="1"/>
  <c r="M585" i="1"/>
  <c r="V585" i="1"/>
  <c r="AE585" i="1"/>
  <c r="C586" i="1"/>
  <c r="E586" i="1"/>
  <c r="F586" i="1"/>
  <c r="H586" i="1"/>
  <c r="I586" i="1"/>
  <c r="J586" i="1"/>
  <c r="L586" i="1"/>
  <c r="M586" i="1"/>
  <c r="V586" i="1"/>
  <c r="AE586" i="1"/>
  <c r="C587" i="1"/>
  <c r="E587" i="1"/>
  <c r="F587" i="1"/>
  <c r="H587" i="1"/>
  <c r="I587" i="1"/>
  <c r="J587" i="1"/>
  <c r="L587" i="1"/>
  <c r="M587" i="1"/>
  <c r="V587" i="1"/>
  <c r="AE587" i="1"/>
  <c r="C588" i="1"/>
  <c r="E588" i="1"/>
  <c r="F588" i="1"/>
  <c r="H588" i="1"/>
  <c r="I588" i="1"/>
  <c r="J588" i="1"/>
  <c r="L588" i="1"/>
  <c r="M588" i="1"/>
  <c r="V588" i="1"/>
  <c r="AE588" i="1"/>
  <c r="C589" i="1"/>
  <c r="E589" i="1"/>
  <c r="F589" i="1"/>
  <c r="H589" i="1"/>
  <c r="I589" i="1"/>
  <c r="J589" i="1"/>
  <c r="L589" i="1"/>
  <c r="M589" i="1"/>
  <c r="V589" i="1"/>
  <c r="AE589" i="1"/>
  <c r="C590" i="1"/>
  <c r="E590" i="1"/>
  <c r="F590" i="1"/>
  <c r="H590" i="1"/>
  <c r="I590" i="1"/>
  <c r="J590" i="1"/>
  <c r="L590" i="1"/>
  <c r="M590" i="1"/>
  <c r="V590" i="1"/>
  <c r="AE590" i="1"/>
  <c r="C591" i="1"/>
  <c r="E591" i="1"/>
  <c r="F591" i="1"/>
  <c r="H591" i="1"/>
  <c r="I591" i="1"/>
  <c r="J591" i="1"/>
  <c r="L591" i="1"/>
  <c r="M591" i="1"/>
  <c r="V591" i="1"/>
  <c r="AE591" i="1"/>
  <c r="C592" i="1"/>
  <c r="E592" i="1"/>
  <c r="F592" i="1"/>
  <c r="H592" i="1"/>
  <c r="I592" i="1"/>
  <c r="J592" i="1"/>
  <c r="L592" i="1"/>
  <c r="M592" i="1"/>
  <c r="V592" i="1"/>
  <c r="AE592" i="1"/>
  <c r="C593" i="1"/>
  <c r="E593" i="1"/>
  <c r="F593" i="1"/>
  <c r="H593" i="1"/>
  <c r="I593" i="1"/>
  <c r="J593" i="1"/>
  <c r="L593" i="1"/>
  <c r="M593" i="1"/>
  <c r="V593" i="1"/>
  <c r="AE593" i="1"/>
  <c r="C594" i="1"/>
  <c r="E594" i="1"/>
  <c r="F594" i="1"/>
  <c r="H594" i="1"/>
  <c r="I594" i="1"/>
  <c r="J594" i="1"/>
  <c r="L594" i="1"/>
  <c r="M594" i="1"/>
  <c r="V594" i="1"/>
  <c r="AE594" i="1"/>
  <c r="C595" i="1"/>
  <c r="E595" i="1"/>
  <c r="F595" i="1"/>
  <c r="H595" i="1"/>
  <c r="I595" i="1"/>
  <c r="J595" i="1"/>
  <c r="L595" i="1"/>
  <c r="M595" i="1"/>
  <c r="V595" i="1"/>
  <c r="AE595" i="1"/>
  <c r="C596" i="1"/>
  <c r="E596" i="1"/>
  <c r="F596" i="1"/>
  <c r="H596" i="1"/>
  <c r="I596" i="1"/>
  <c r="J596" i="1"/>
  <c r="L596" i="1"/>
  <c r="M596" i="1"/>
  <c r="V596" i="1"/>
  <c r="AE596" i="1"/>
  <c r="C597" i="1"/>
  <c r="E597" i="1"/>
  <c r="F597" i="1"/>
  <c r="H597" i="1"/>
  <c r="I597" i="1"/>
  <c r="J597" i="1"/>
  <c r="L597" i="1"/>
  <c r="M597" i="1"/>
  <c r="V597" i="1"/>
  <c r="AE597" i="1"/>
  <c r="C598" i="1"/>
  <c r="E598" i="1"/>
  <c r="F598" i="1"/>
  <c r="H598" i="1"/>
  <c r="I598" i="1"/>
  <c r="J598" i="1"/>
  <c r="L598" i="1"/>
  <c r="M598" i="1"/>
  <c r="V598" i="1"/>
  <c r="AE598" i="1"/>
  <c r="C599" i="1"/>
  <c r="E599" i="1"/>
  <c r="F599" i="1"/>
  <c r="H599" i="1"/>
  <c r="I599" i="1"/>
  <c r="J599" i="1"/>
  <c r="L599" i="1"/>
  <c r="M599" i="1"/>
  <c r="V599" i="1"/>
  <c r="AE599" i="1"/>
  <c r="C600" i="1"/>
  <c r="E600" i="1"/>
  <c r="F600" i="1"/>
  <c r="H600" i="1"/>
  <c r="I600" i="1"/>
  <c r="J600" i="1"/>
  <c r="L600" i="1"/>
  <c r="M600" i="1"/>
  <c r="V600" i="1"/>
  <c r="AE600" i="1"/>
  <c r="C601" i="1"/>
  <c r="E601" i="1"/>
  <c r="F601" i="1"/>
  <c r="H601" i="1"/>
  <c r="I601" i="1"/>
  <c r="J601" i="1"/>
  <c r="L601" i="1"/>
  <c r="M601" i="1"/>
  <c r="V601" i="1"/>
  <c r="AE601" i="1"/>
  <c r="C602" i="1"/>
  <c r="E602" i="1"/>
  <c r="F602" i="1"/>
  <c r="H602" i="1"/>
  <c r="I602" i="1"/>
  <c r="J602" i="1"/>
  <c r="L602" i="1"/>
  <c r="M602" i="1"/>
  <c r="V602" i="1"/>
  <c r="AE602" i="1"/>
  <c r="C603" i="1"/>
  <c r="E603" i="1"/>
  <c r="F603" i="1"/>
  <c r="H603" i="1"/>
  <c r="I603" i="1"/>
  <c r="J603" i="1"/>
  <c r="L603" i="1"/>
  <c r="M603" i="1"/>
  <c r="AE603" i="1"/>
  <c r="C604" i="1"/>
  <c r="E604" i="1"/>
  <c r="F604" i="1"/>
  <c r="H604" i="1"/>
  <c r="I604" i="1"/>
  <c r="J604" i="1"/>
  <c r="L604" i="1"/>
  <c r="M604" i="1"/>
  <c r="V604" i="1"/>
  <c r="AE604" i="1"/>
  <c r="C605" i="1"/>
  <c r="E605" i="1"/>
  <c r="F605" i="1"/>
  <c r="H605" i="1"/>
  <c r="I605" i="1"/>
  <c r="J605" i="1"/>
  <c r="L605" i="1"/>
  <c r="M605" i="1"/>
  <c r="V605" i="1"/>
  <c r="AE605" i="1"/>
  <c r="C606" i="1"/>
  <c r="E606" i="1"/>
  <c r="F606" i="1"/>
  <c r="H606" i="1"/>
  <c r="I606" i="1"/>
  <c r="J606" i="1"/>
  <c r="L606" i="1"/>
  <c r="M606" i="1"/>
  <c r="V606" i="1"/>
  <c r="AE606" i="1"/>
  <c r="C607" i="1"/>
  <c r="E607" i="1"/>
  <c r="F607" i="1"/>
  <c r="H607" i="1"/>
  <c r="I607" i="1"/>
  <c r="J607" i="1"/>
  <c r="L607" i="1"/>
  <c r="M607" i="1"/>
  <c r="V607" i="1"/>
  <c r="AE607" i="1"/>
  <c r="C608" i="1"/>
  <c r="E608" i="1"/>
  <c r="F608" i="1"/>
  <c r="H608" i="1"/>
  <c r="I608" i="1"/>
  <c r="J608" i="1"/>
  <c r="L608" i="1"/>
  <c r="M608" i="1"/>
  <c r="V608" i="1"/>
  <c r="AE608" i="1"/>
  <c r="C609" i="1"/>
  <c r="E609" i="1"/>
  <c r="F609" i="1"/>
  <c r="H609" i="1"/>
  <c r="I609" i="1"/>
  <c r="J609" i="1"/>
  <c r="L609" i="1"/>
  <c r="M609" i="1"/>
  <c r="V609" i="1"/>
  <c r="AE609" i="1"/>
  <c r="C610" i="1"/>
  <c r="E610" i="1"/>
  <c r="F610" i="1"/>
  <c r="H610" i="1"/>
  <c r="I610" i="1"/>
  <c r="J610" i="1"/>
  <c r="L610" i="1"/>
  <c r="M610" i="1"/>
  <c r="V610" i="1"/>
  <c r="AE610" i="1"/>
  <c r="C611" i="1"/>
  <c r="E611" i="1"/>
  <c r="F611" i="1"/>
  <c r="H611" i="1"/>
  <c r="I611" i="1"/>
  <c r="J611" i="1"/>
  <c r="L611" i="1"/>
  <c r="M611" i="1"/>
  <c r="V611" i="1"/>
  <c r="AE611" i="1"/>
  <c r="C612" i="1"/>
  <c r="E612" i="1"/>
  <c r="F612" i="1"/>
  <c r="H612" i="1"/>
  <c r="I612" i="1"/>
  <c r="J612" i="1"/>
  <c r="L612" i="1"/>
  <c r="M612" i="1"/>
  <c r="V612" i="1"/>
  <c r="AE612" i="1"/>
  <c r="C613" i="1"/>
  <c r="E613" i="1"/>
  <c r="F613" i="1"/>
  <c r="H613" i="1"/>
  <c r="I613" i="1"/>
  <c r="J613" i="1"/>
  <c r="L613" i="1"/>
  <c r="M613" i="1"/>
  <c r="V613" i="1"/>
  <c r="AE613" i="1"/>
  <c r="C614" i="1"/>
  <c r="E614" i="1"/>
  <c r="F614" i="1"/>
  <c r="H614" i="1"/>
  <c r="I614" i="1"/>
  <c r="J614" i="1"/>
  <c r="L614" i="1"/>
  <c r="M614" i="1"/>
  <c r="V614" i="1"/>
  <c r="AE614" i="1"/>
  <c r="C615" i="1"/>
  <c r="E615" i="1"/>
  <c r="F615" i="1"/>
  <c r="H615" i="1"/>
  <c r="I615" i="1"/>
  <c r="J615" i="1"/>
  <c r="L615" i="1"/>
  <c r="M615" i="1"/>
  <c r="V615" i="1"/>
  <c r="AE615" i="1"/>
  <c r="C616" i="1"/>
  <c r="E616" i="1"/>
  <c r="F616" i="1"/>
  <c r="H616" i="1"/>
  <c r="I616" i="1"/>
  <c r="J616" i="1"/>
  <c r="L616" i="1"/>
  <c r="M616" i="1"/>
  <c r="V616" i="1"/>
  <c r="AE616" i="1"/>
  <c r="C617" i="1"/>
  <c r="E617" i="1"/>
  <c r="F617" i="1"/>
  <c r="H617" i="1"/>
  <c r="I617" i="1"/>
  <c r="J617" i="1"/>
  <c r="L617" i="1"/>
  <c r="M617" i="1"/>
  <c r="V617" i="1"/>
  <c r="AE617" i="1"/>
  <c r="C618" i="1"/>
  <c r="E618" i="1"/>
  <c r="F618" i="1"/>
  <c r="H618" i="1"/>
  <c r="I618" i="1"/>
  <c r="J618" i="1"/>
  <c r="L618" i="1"/>
  <c r="M618" i="1"/>
  <c r="V618" i="1"/>
  <c r="AE618" i="1"/>
  <c r="C619" i="1"/>
  <c r="E619" i="1"/>
  <c r="F619" i="1"/>
  <c r="H619" i="1"/>
  <c r="I619" i="1"/>
  <c r="J619" i="1"/>
  <c r="L619" i="1"/>
  <c r="M619" i="1"/>
  <c r="V619" i="1"/>
  <c r="AE619" i="1"/>
  <c r="C620" i="1"/>
  <c r="E620" i="1"/>
  <c r="F620" i="1"/>
  <c r="H620" i="1"/>
  <c r="I620" i="1"/>
  <c r="J620" i="1"/>
  <c r="L620" i="1"/>
  <c r="M620" i="1"/>
  <c r="V620" i="1"/>
  <c r="AE620" i="1"/>
  <c r="C621" i="1"/>
  <c r="E621" i="1"/>
  <c r="F621" i="1"/>
  <c r="H621" i="1"/>
  <c r="I621" i="1"/>
  <c r="J621" i="1"/>
  <c r="L621" i="1"/>
  <c r="M621" i="1"/>
  <c r="V621" i="1"/>
  <c r="AE621" i="1"/>
  <c r="C622" i="1"/>
  <c r="E622" i="1"/>
  <c r="F622" i="1"/>
  <c r="H622" i="1"/>
  <c r="I622" i="1"/>
  <c r="J622" i="1"/>
  <c r="L622" i="1"/>
  <c r="M622" i="1"/>
  <c r="V622" i="1"/>
  <c r="AE622" i="1"/>
  <c r="C623" i="1"/>
  <c r="E623" i="1"/>
  <c r="F623" i="1"/>
  <c r="H623" i="1"/>
  <c r="I623" i="1"/>
  <c r="J623" i="1"/>
  <c r="L623" i="1"/>
  <c r="M623" i="1"/>
  <c r="V623" i="1"/>
  <c r="AE623" i="1"/>
  <c r="C624" i="1"/>
  <c r="E624" i="1"/>
  <c r="F624" i="1"/>
  <c r="H624" i="1"/>
  <c r="I624" i="1"/>
  <c r="J624" i="1"/>
  <c r="L624" i="1"/>
  <c r="M624" i="1"/>
  <c r="V624" i="1"/>
  <c r="AE624" i="1"/>
  <c r="C625" i="1"/>
  <c r="E625" i="1"/>
  <c r="F625" i="1"/>
  <c r="H625" i="1"/>
  <c r="I625" i="1"/>
  <c r="J625" i="1"/>
  <c r="L625" i="1"/>
  <c r="M625" i="1"/>
  <c r="V625" i="1"/>
  <c r="AE625" i="1"/>
  <c r="C626" i="1"/>
  <c r="E626" i="1"/>
  <c r="F626" i="1"/>
  <c r="H626" i="1"/>
  <c r="I626" i="1"/>
  <c r="J626" i="1"/>
  <c r="L626" i="1"/>
  <c r="M626" i="1"/>
  <c r="V626" i="1"/>
  <c r="AE626" i="1"/>
  <c r="C627" i="1"/>
  <c r="E627" i="1"/>
  <c r="F627" i="1"/>
  <c r="H627" i="1"/>
  <c r="I627" i="1"/>
  <c r="J627" i="1"/>
  <c r="L627" i="1"/>
  <c r="M627" i="1"/>
  <c r="V627" i="1"/>
  <c r="AE627" i="1"/>
  <c r="C628" i="1"/>
  <c r="E628" i="1"/>
  <c r="F628" i="1"/>
  <c r="H628" i="1"/>
  <c r="I628" i="1"/>
  <c r="J628" i="1"/>
  <c r="L628" i="1"/>
  <c r="M628" i="1"/>
  <c r="V628" i="1"/>
  <c r="AE628" i="1"/>
  <c r="C629" i="1"/>
  <c r="E629" i="1"/>
  <c r="F629" i="1"/>
  <c r="H629" i="1"/>
  <c r="I629" i="1"/>
  <c r="J629" i="1"/>
  <c r="L629" i="1"/>
  <c r="M629" i="1"/>
  <c r="V629" i="1"/>
  <c r="AE629" i="1"/>
  <c r="C630" i="1"/>
  <c r="E630" i="1"/>
  <c r="F630" i="1"/>
  <c r="H630" i="1"/>
  <c r="I630" i="1"/>
  <c r="J630" i="1"/>
  <c r="L630" i="1"/>
  <c r="M630" i="1"/>
  <c r="V630" i="1"/>
  <c r="AE630" i="1"/>
  <c r="C631" i="1"/>
  <c r="E631" i="1"/>
  <c r="F631" i="1"/>
  <c r="H631" i="1"/>
  <c r="I631" i="1"/>
  <c r="J631" i="1"/>
  <c r="L631" i="1"/>
  <c r="M631" i="1"/>
  <c r="V631" i="1"/>
  <c r="AE631" i="1"/>
  <c r="C632" i="1"/>
  <c r="E632" i="1"/>
  <c r="F632" i="1"/>
  <c r="H632" i="1"/>
  <c r="I632" i="1"/>
  <c r="J632" i="1"/>
  <c r="L632" i="1"/>
  <c r="M632" i="1"/>
  <c r="V632" i="1"/>
  <c r="AE632" i="1"/>
  <c r="C633" i="1"/>
  <c r="E633" i="1"/>
  <c r="F633" i="1"/>
  <c r="H633" i="1"/>
  <c r="I633" i="1"/>
  <c r="J633" i="1"/>
  <c r="L633" i="1"/>
  <c r="M633" i="1"/>
  <c r="V633" i="1"/>
  <c r="AE633" i="1"/>
  <c r="C634" i="1"/>
  <c r="E634" i="1"/>
  <c r="F634" i="1"/>
  <c r="H634" i="1"/>
  <c r="I634" i="1"/>
  <c r="J634" i="1"/>
  <c r="L634" i="1"/>
  <c r="M634" i="1"/>
  <c r="V634" i="1"/>
  <c r="AE634" i="1"/>
  <c r="C635" i="1"/>
  <c r="E635" i="1"/>
  <c r="F635" i="1"/>
  <c r="H635" i="1"/>
  <c r="I635" i="1"/>
  <c r="J635" i="1"/>
  <c r="L635" i="1"/>
  <c r="M635" i="1"/>
  <c r="V635" i="1"/>
  <c r="AE635" i="1"/>
  <c r="C636" i="1"/>
  <c r="E636" i="1"/>
  <c r="F636" i="1"/>
  <c r="H636" i="1"/>
  <c r="I636" i="1"/>
  <c r="J636" i="1"/>
  <c r="L636" i="1"/>
  <c r="M636" i="1"/>
  <c r="V636" i="1"/>
  <c r="AE636" i="1"/>
  <c r="C637" i="1"/>
  <c r="E637" i="1"/>
  <c r="F637" i="1"/>
  <c r="H637" i="1"/>
  <c r="I637" i="1"/>
  <c r="J637" i="1"/>
  <c r="L637" i="1"/>
  <c r="M637" i="1"/>
  <c r="V637" i="1"/>
  <c r="AE637" i="1"/>
  <c r="C638" i="1"/>
  <c r="E638" i="1"/>
  <c r="F638" i="1"/>
  <c r="H638" i="1"/>
  <c r="I638" i="1"/>
  <c r="J638" i="1"/>
  <c r="L638" i="1"/>
  <c r="M638" i="1"/>
  <c r="V638" i="1"/>
  <c r="AE638" i="1"/>
  <c r="C639" i="1"/>
  <c r="E639" i="1"/>
  <c r="F639" i="1"/>
  <c r="H639" i="1"/>
  <c r="I639" i="1"/>
  <c r="J639" i="1"/>
  <c r="L639" i="1"/>
  <c r="M639" i="1"/>
  <c r="V639" i="1"/>
  <c r="AE639" i="1"/>
  <c r="C640" i="1"/>
  <c r="E640" i="1"/>
  <c r="F640" i="1"/>
  <c r="H640" i="1"/>
  <c r="I640" i="1"/>
  <c r="J640" i="1"/>
  <c r="L640" i="1"/>
  <c r="M640" i="1"/>
  <c r="V640" i="1"/>
  <c r="AE640" i="1"/>
  <c r="C641" i="1"/>
  <c r="E641" i="1"/>
  <c r="F641" i="1"/>
  <c r="H641" i="1"/>
  <c r="I641" i="1"/>
  <c r="J641" i="1"/>
  <c r="L641" i="1"/>
  <c r="M641" i="1"/>
  <c r="V641" i="1"/>
  <c r="AE641" i="1"/>
  <c r="C642" i="1"/>
  <c r="E642" i="1"/>
  <c r="F642" i="1"/>
  <c r="H642" i="1"/>
  <c r="I642" i="1"/>
  <c r="J642" i="1"/>
  <c r="L642" i="1"/>
  <c r="M642" i="1"/>
  <c r="V642" i="1"/>
  <c r="AE642" i="1"/>
  <c r="C643" i="1"/>
  <c r="E643" i="1"/>
  <c r="F643" i="1"/>
  <c r="H643" i="1"/>
  <c r="I643" i="1"/>
  <c r="J643" i="1"/>
  <c r="L643" i="1"/>
  <c r="M643" i="1"/>
  <c r="V643" i="1"/>
  <c r="AE643" i="1"/>
  <c r="C644" i="1"/>
  <c r="E644" i="1"/>
  <c r="F644" i="1"/>
  <c r="H644" i="1"/>
  <c r="I644" i="1"/>
  <c r="J644" i="1"/>
  <c r="L644" i="1"/>
  <c r="M644" i="1"/>
  <c r="V644" i="1"/>
  <c r="AE644" i="1"/>
  <c r="C645" i="1"/>
  <c r="E645" i="1"/>
  <c r="F645" i="1"/>
  <c r="H645" i="1"/>
  <c r="I645" i="1"/>
  <c r="J645" i="1"/>
  <c r="L645" i="1"/>
  <c r="M645" i="1"/>
  <c r="V645" i="1"/>
  <c r="AE645" i="1"/>
  <c r="C646" i="1"/>
  <c r="E646" i="1"/>
  <c r="F646" i="1"/>
  <c r="H646" i="1"/>
  <c r="I646" i="1"/>
  <c r="J646" i="1"/>
  <c r="L646" i="1"/>
  <c r="M646" i="1"/>
  <c r="V646" i="1"/>
  <c r="AE646" i="1"/>
  <c r="C647" i="1"/>
  <c r="E647" i="1"/>
  <c r="F647" i="1"/>
  <c r="H647" i="1"/>
  <c r="I647" i="1"/>
  <c r="J647" i="1"/>
  <c r="L647" i="1"/>
  <c r="M647" i="1"/>
  <c r="V647" i="1"/>
  <c r="AE647" i="1"/>
  <c r="C648" i="1"/>
  <c r="E648" i="1"/>
  <c r="F648" i="1"/>
  <c r="H648" i="1"/>
  <c r="I648" i="1"/>
  <c r="J648" i="1"/>
  <c r="L648" i="1"/>
  <c r="M648" i="1"/>
  <c r="V648" i="1"/>
  <c r="AE648" i="1"/>
  <c r="C649" i="1"/>
  <c r="E649" i="1"/>
  <c r="F649" i="1"/>
  <c r="H649" i="1"/>
  <c r="I649" i="1"/>
  <c r="J649" i="1"/>
  <c r="L649" i="1"/>
  <c r="M649" i="1"/>
  <c r="V649" i="1"/>
  <c r="AE649" i="1"/>
  <c r="C650" i="1"/>
  <c r="E650" i="1"/>
  <c r="F650" i="1"/>
  <c r="H650" i="1"/>
  <c r="I650" i="1"/>
  <c r="J650" i="1"/>
  <c r="L650" i="1"/>
  <c r="M650" i="1"/>
  <c r="V650" i="1"/>
  <c r="AE650" i="1"/>
  <c r="C651" i="1"/>
  <c r="E651" i="1"/>
  <c r="F651" i="1"/>
  <c r="H651" i="1"/>
  <c r="I651" i="1"/>
  <c r="J651" i="1"/>
  <c r="L651" i="1"/>
  <c r="M651" i="1"/>
  <c r="V651" i="1"/>
  <c r="AE651" i="1"/>
  <c r="C652" i="1"/>
  <c r="E652" i="1"/>
  <c r="F652" i="1"/>
  <c r="H652" i="1"/>
  <c r="I652" i="1"/>
  <c r="J652" i="1"/>
  <c r="L652" i="1"/>
  <c r="M652" i="1"/>
  <c r="V652" i="1"/>
  <c r="AE652" i="1"/>
  <c r="C653" i="1"/>
  <c r="E653" i="1"/>
  <c r="F653" i="1"/>
  <c r="H653" i="1"/>
  <c r="I653" i="1"/>
  <c r="J653" i="1"/>
  <c r="L653" i="1"/>
  <c r="M653" i="1"/>
  <c r="V653" i="1"/>
  <c r="AE653" i="1"/>
  <c r="C654" i="1"/>
  <c r="E654" i="1"/>
  <c r="F654" i="1"/>
  <c r="H654" i="1"/>
  <c r="I654" i="1"/>
  <c r="J654" i="1"/>
  <c r="L654" i="1"/>
  <c r="M654" i="1"/>
  <c r="V654" i="1"/>
  <c r="AE654" i="1"/>
  <c r="C655" i="1"/>
  <c r="E655" i="1"/>
  <c r="F655" i="1"/>
  <c r="H655" i="1"/>
  <c r="I655" i="1"/>
  <c r="J655" i="1"/>
  <c r="L655" i="1"/>
  <c r="M655" i="1"/>
  <c r="V655" i="1"/>
  <c r="AE655" i="1"/>
  <c r="C656" i="1"/>
  <c r="E656" i="1"/>
  <c r="F656" i="1"/>
  <c r="H656" i="1"/>
  <c r="I656" i="1"/>
  <c r="J656" i="1"/>
  <c r="L656" i="1"/>
  <c r="M656" i="1"/>
  <c r="V656" i="1"/>
  <c r="AE656" i="1"/>
  <c r="C657" i="1"/>
  <c r="E657" i="1"/>
  <c r="F657" i="1"/>
  <c r="H657" i="1"/>
  <c r="I657" i="1"/>
  <c r="J657" i="1"/>
  <c r="L657" i="1"/>
  <c r="M657" i="1"/>
  <c r="V657" i="1"/>
  <c r="AE657" i="1"/>
  <c r="C658" i="1"/>
  <c r="E658" i="1"/>
  <c r="F658" i="1"/>
  <c r="H658" i="1"/>
  <c r="I658" i="1"/>
  <c r="J658" i="1"/>
  <c r="L658" i="1"/>
  <c r="M658" i="1"/>
  <c r="V658" i="1"/>
  <c r="AE658" i="1"/>
  <c r="C659" i="1"/>
  <c r="E659" i="1"/>
  <c r="F659" i="1"/>
  <c r="H659" i="1"/>
  <c r="I659" i="1"/>
  <c r="J659" i="1"/>
  <c r="L659" i="1"/>
  <c r="M659" i="1"/>
  <c r="V659" i="1"/>
  <c r="AE659" i="1"/>
  <c r="C660" i="1"/>
  <c r="E660" i="1"/>
  <c r="F660" i="1"/>
  <c r="H660" i="1"/>
  <c r="I660" i="1"/>
  <c r="J660" i="1"/>
  <c r="L660" i="1"/>
  <c r="M660" i="1"/>
  <c r="V660" i="1"/>
  <c r="AE660" i="1"/>
  <c r="C661" i="1"/>
  <c r="E661" i="1"/>
  <c r="F661" i="1"/>
  <c r="H661" i="1"/>
  <c r="I661" i="1"/>
  <c r="J661" i="1"/>
  <c r="L661" i="1"/>
  <c r="M661" i="1"/>
  <c r="V661" i="1"/>
  <c r="AE661" i="1"/>
  <c r="C662" i="1"/>
  <c r="E662" i="1"/>
  <c r="F662" i="1"/>
  <c r="H662" i="1"/>
  <c r="I662" i="1"/>
  <c r="J662" i="1"/>
  <c r="L662" i="1"/>
  <c r="M662" i="1"/>
  <c r="V662" i="1"/>
  <c r="AE662" i="1"/>
  <c r="C663" i="1"/>
  <c r="E663" i="1"/>
  <c r="F663" i="1"/>
  <c r="H663" i="1"/>
  <c r="I663" i="1"/>
  <c r="J663" i="1"/>
  <c r="L663" i="1"/>
  <c r="M663" i="1"/>
  <c r="V663" i="1"/>
  <c r="AE663" i="1"/>
  <c r="C664" i="1"/>
  <c r="E664" i="1"/>
  <c r="F664" i="1"/>
  <c r="H664" i="1"/>
  <c r="I664" i="1"/>
  <c r="J664" i="1"/>
  <c r="L664" i="1"/>
  <c r="M664" i="1"/>
  <c r="V664" i="1"/>
  <c r="AE664" i="1"/>
  <c r="C665" i="1"/>
  <c r="E665" i="1"/>
  <c r="F665" i="1"/>
  <c r="H665" i="1"/>
  <c r="I665" i="1"/>
  <c r="J665" i="1"/>
  <c r="L665" i="1"/>
  <c r="M665" i="1"/>
  <c r="V665" i="1"/>
  <c r="AE665" i="1"/>
  <c r="C666" i="1"/>
  <c r="E666" i="1"/>
  <c r="F666" i="1"/>
  <c r="H666" i="1"/>
  <c r="I666" i="1"/>
  <c r="J666" i="1"/>
  <c r="L666" i="1"/>
  <c r="M666" i="1"/>
  <c r="V666" i="1"/>
  <c r="AE666" i="1"/>
  <c r="C667" i="1"/>
  <c r="E667" i="1"/>
  <c r="F667" i="1"/>
  <c r="H667" i="1"/>
  <c r="I667" i="1"/>
  <c r="J667" i="1"/>
  <c r="L667" i="1"/>
  <c r="M667" i="1"/>
  <c r="V667" i="1"/>
  <c r="AE667" i="1"/>
  <c r="C668" i="1"/>
  <c r="E668" i="1"/>
  <c r="F668" i="1"/>
  <c r="H668" i="1"/>
  <c r="I668" i="1"/>
  <c r="J668" i="1"/>
  <c r="L668" i="1"/>
  <c r="M668" i="1"/>
  <c r="V668" i="1"/>
  <c r="AE668" i="1"/>
  <c r="C669" i="1"/>
  <c r="E669" i="1"/>
  <c r="F669" i="1"/>
  <c r="H669" i="1"/>
  <c r="I669" i="1"/>
  <c r="J669" i="1"/>
  <c r="L669" i="1"/>
  <c r="M669" i="1"/>
  <c r="V669" i="1"/>
  <c r="AE669" i="1"/>
  <c r="C670" i="1"/>
  <c r="E670" i="1"/>
  <c r="F670" i="1"/>
  <c r="H670" i="1"/>
  <c r="I670" i="1"/>
  <c r="J670" i="1"/>
  <c r="L670" i="1"/>
  <c r="M670" i="1"/>
  <c r="V670" i="1"/>
  <c r="AE670" i="1"/>
  <c r="C671" i="1"/>
  <c r="E671" i="1"/>
  <c r="F671" i="1"/>
  <c r="H671" i="1"/>
  <c r="I671" i="1"/>
  <c r="J671" i="1"/>
  <c r="L671" i="1"/>
  <c r="M671" i="1"/>
  <c r="V671" i="1"/>
  <c r="AE671" i="1"/>
  <c r="C672" i="1"/>
  <c r="E672" i="1"/>
  <c r="F672" i="1"/>
  <c r="H672" i="1"/>
  <c r="I672" i="1"/>
  <c r="J672" i="1"/>
  <c r="L672" i="1"/>
  <c r="M672" i="1"/>
  <c r="V672" i="1"/>
  <c r="AE672" i="1"/>
  <c r="C673" i="1"/>
  <c r="E673" i="1"/>
  <c r="F673" i="1"/>
  <c r="H673" i="1"/>
  <c r="I673" i="1"/>
  <c r="J673" i="1"/>
  <c r="L673" i="1"/>
  <c r="M673" i="1"/>
  <c r="V673" i="1"/>
  <c r="AE673" i="1"/>
  <c r="C674" i="1"/>
  <c r="E674" i="1"/>
  <c r="F674" i="1"/>
  <c r="H674" i="1"/>
  <c r="I674" i="1"/>
  <c r="J674" i="1"/>
  <c r="L674" i="1"/>
  <c r="M674" i="1"/>
  <c r="V674" i="1"/>
  <c r="AE674" i="1"/>
  <c r="C675" i="1"/>
  <c r="E675" i="1"/>
  <c r="F675" i="1"/>
  <c r="H675" i="1"/>
  <c r="I675" i="1"/>
  <c r="J675" i="1"/>
  <c r="L675" i="1"/>
  <c r="M675" i="1"/>
  <c r="V675" i="1"/>
  <c r="AE675" i="1"/>
  <c r="C676" i="1"/>
  <c r="E676" i="1"/>
  <c r="F676" i="1"/>
  <c r="H676" i="1"/>
  <c r="I676" i="1"/>
  <c r="J676" i="1"/>
  <c r="L676" i="1"/>
  <c r="M676" i="1"/>
  <c r="V676" i="1"/>
  <c r="AE676" i="1"/>
  <c r="C677" i="1"/>
  <c r="E677" i="1"/>
  <c r="F677" i="1"/>
  <c r="H677" i="1"/>
  <c r="I677" i="1"/>
  <c r="J677" i="1"/>
  <c r="L677" i="1"/>
  <c r="M677" i="1"/>
  <c r="V677" i="1"/>
  <c r="AE677" i="1"/>
  <c r="C678" i="1"/>
  <c r="E678" i="1"/>
  <c r="F678" i="1"/>
  <c r="H678" i="1"/>
  <c r="I678" i="1"/>
  <c r="J678" i="1"/>
  <c r="L678" i="1"/>
  <c r="M678" i="1"/>
  <c r="V678" i="1"/>
  <c r="AE678" i="1"/>
  <c r="C679" i="1"/>
  <c r="E679" i="1"/>
  <c r="F679" i="1"/>
  <c r="H679" i="1"/>
  <c r="I679" i="1"/>
  <c r="J679" i="1"/>
  <c r="L679" i="1"/>
  <c r="M679" i="1"/>
  <c r="V679" i="1"/>
  <c r="AE679" i="1"/>
  <c r="C680" i="1"/>
  <c r="E680" i="1"/>
  <c r="F680" i="1"/>
  <c r="H680" i="1"/>
  <c r="I680" i="1"/>
  <c r="J680" i="1"/>
  <c r="L680" i="1"/>
  <c r="M680" i="1"/>
  <c r="V680" i="1"/>
  <c r="AE680" i="1"/>
  <c r="C681" i="1"/>
  <c r="E681" i="1"/>
  <c r="F681" i="1"/>
  <c r="H681" i="1"/>
  <c r="I681" i="1"/>
  <c r="J681" i="1"/>
  <c r="L681" i="1"/>
  <c r="M681" i="1"/>
  <c r="V681" i="1"/>
  <c r="AE681" i="1"/>
  <c r="C682" i="1"/>
  <c r="E682" i="1"/>
  <c r="F682" i="1"/>
  <c r="H682" i="1"/>
  <c r="I682" i="1"/>
  <c r="J682" i="1"/>
  <c r="L682" i="1"/>
  <c r="M682" i="1"/>
  <c r="V682" i="1"/>
  <c r="AE682" i="1"/>
  <c r="C683" i="1"/>
  <c r="E683" i="1"/>
  <c r="F683" i="1"/>
  <c r="H683" i="1"/>
  <c r="I683" i="1"/>
  <c r="J683" i="1"/>
  <c r="L683" i="1"/>
  <c r="M683" i="1"/>
  <c r="V683" i="1"/>
  <c r="AE683" i="1"/>
  <c r="C684" i="1"/>
  <c r="E684" i="1"/>
  <c r="F684" i="1"/>
  <c r="H684" i="1"/>
  <c r="I684" i="1"/>
  <c r="J684" i="1"/>
  <c r="L684" i="1"/>
  <c r="M684" i="1"/>
  <c r="V684" i="1"/>
  <c r="AE684" i="1"/>
  <c r="C685" i="1"/>
  <c r="E685" i="1"/>
  <c r="F685" i="1"/>
  <c r="H685" i="1"/>
  <c r="I685" i="1"/>
  <c r="J685" i="1"/>
  <c r="L685" i="1"/>
  <c r="M685" i="1"/>
  <c r="V685" i="1"/>
  <c r="AE685" i="1"/>
  <c r="C686" i="1"/>
  <c r="E686" i="1"/>
  <c r="F686" i="1"/>
  <c r="H686" i="1"/>
  <c r="I686" i="1"/>
  <c r="J686" i="1"/>
  <c r="L686" i="1"/>
  <c r="M686" i="1"/>
  <c r="V686" i="1"/>
  <c r="AE686" i="1"/>
  <c r="C687" i="1"/>
  <c r="E687" i="1"/>
  <c r="F687" i="1"/>
  <c r="H687" i="1"/>
  <c r="I687" i="1"/>
  <c r="J687" i="1"/>
  <c r="L687" i="1"/>
  <c r="M687" i="1"/>
  <c r="V687" i="1"/>
  <c r="AE687" i="1"/>
  <c r="C688" i="1"/>
  <c r="E688" i="1"/>
  <c r="F688" i="1"/>
  <c r="H688" i="1"/>
  <c r="I688" i="1"/>
  <c r="J688" i="1"/>
  <c r="L688" i="1"/>
  <c r="M688" i="1"/>
  <c r="V688" i="1"/>
  <c r="AE688" i="1"/>
  <c r="C689" i="1"/>
  <c r="E689" i="1"/>
  <c r="F689" i="1"/>
  <c r="H689" i="1"/>
  <c r="I689" i="1"/>
  <c r="J689" i="1"/>
  <c r="L689" i="1"/>
  <c r="M689" i="1"/>
  <c r="V689" i="1"/>
  <c r="AE689" i="1"/>
  <c r="C690" i="1"/>
  <c r="E690" i="1"/>
  <c r="F690" i="1"/>
  <c r="H690" i="1"/>
  <c r="I690" i="1"/>
  <c r="J690" i="1"/>
  <c r="L690" i="1"/>
  <c r="M690" i="1"/>
  <c r="V690" i="1"/>
  <c r="AE690" i="1"/>
  <c r="C691" i="1"/>
  <c r="E691" i="1"/>
  <c r="F691" i="1"/>
  <c r="H691" i="1"/>
  <c r="I691" i="1"/>
  <c r="J691" i="1"/>
  <c r="L691" i="1"/>
  <c r="M691" i="1"/>
  <c r="V691" i="1"/>
  <c r="AE691" i="1"/>
  <c r="C692" i="1"/>
  <c r="E692" i="1"/>
  <c r="F692" i="1"/>
  <c r="H692" i="1"/>
  <c r="I692" i="1"/>
  <c r="J692" i="1"/>
  <c r="L692" i="1"/>
  <c r="M692" i="1"/>
  <c r="V692" i="1"/>
  <c r="AE692" i="1"/>
  <c r="C693" i="1"/>
  <c r="E693" i="1"/>
  <c r="F693" i="1"/>
  <c r="H693" i="1"/>
  <c r="I693" i="1"/>
  <c r="J693" i="1"/>
  <c r="L693" i="1"/>
  <c r="M693" i="1"/>
  <c r="V693" i="1"/>
  <c r="AE693" i="1"/>
  <c r="C694" i="1"/>
  <c r="E694" i="1"/>
  <c r="F694" i="1"/>
  <c r="H694" i="1"/>
  <c r="I694" i="1"/>
  <c r="J694" i="1"/>
  <c r="L694" i="1"/>
  <c r="M694" i="1"/>
  <c r="V694" i="1"/>
  <c r="AE694" i="1"/>
  <c r="C695" i="1"/>
  <c r="E695" i="1"/>
  <c r="F695" i="1"/>
  <c r="H695" i="1"/>
  <c r="I695" i="1"/>
  <c r="J695" i="1"/>
  <c r="L695" i="1"/>
  <c r="M695" i="1"/>
  <c r="V695" i="1"/>
  <c r="AE695" i="1"/>
  <c r="C696" i="1"/>
  <c r="E696" i="1"/>
  <c r="F696" i="1"/>
  <c r="H696" i="1"/>
  <c r="I696" i="1"/>
  <c r="J696" i="1"/>
  <c r="L696" i="1"/>
  <c r="M696" i="1"/>
  <c r="V696" i="1"/>
  <c r="AE696" i="1"/>
  <c r="C697" i="1"/>
  <c r="E697" i="1"/>
  <c r="F697" i="1"/>
  <c r="H697" i="1"/>
  <c r="I697" i="1"/>
  <c r="J697" i="1"/>
  <c r="L697" i="1"/>
  <c r="M697" i="1"/>
  <c r="V697" i="1"/>
  <c r="AE697" i="1"/>
  <c r="C698" i="1"/>
  <c r="E698" i="1"/>
  <c r="F698" i="1"/>
  <c r="H698" i="1"/>
  <c r="I698" i="1"/>
  <c r="J698" i="1"/>
  <c r="L698" i="1"/>
  <c r="M698" i="1"/>
  <c r="V698" i="1"/>
  <c r="AE698" i="1"/>
  <c r="C699" i="1"/>
  <c r="E699" i="1"/>
  <c r="F699" i="1"/>
  <c r="H699" i="1"/>
  <c r="I699" i="1"/>
  <c r="J699" i="1"/>
  <c r="L699" i="1"/>
  <c r="M699" i="1"/>
  <c r="V699" i="1"/>
  <c r="AE699" i="1"/>
  <c r="C700" i="1"/>
  <c r="E700" i="1"/>
  <c r="F700" i="1"/>
  <c r="H700" i="1"/>
  <c r="I700" i="1"/>
  <c r="J700" i="1"/>
  <c r="L700" i="1"/>
  <c r="M700" i="1"/>
  <c r="V700" i="1"/>
  <c r="AE700" i="1"/>
  <c r="C701" i="1"/>
  <c r="E701" i="1"/>
  <c r="F701" i="1"/>
  <c r="H701" i="1"/>
  <c r="I701" i="1"/>
  <c r="J701" i="1"/>
  <c r="L701" i="1"/>
  <c r="M701" i="1"/>
  <c r="V701" i="1"/>
  <c r="AE701" i="1"/>
  <c r="C702" i="1"/>
  <c r="E702" i="1"/>
  <c r="F702" i="1"/>
  <c r="H702" i="1"/>
  <c r="I702" i="1"/>
  <c r="J702" i="1"/>
  <c r="L702" i="1"/>
  <c r="M702" i="1"/>
  <c r="V702" i="1"/>
  <c r="AE702" i="1"/>
  <c r="C703" i="1"/>
  <c r="E703" i="1"/>
  <c r="F703" i="1"/>
  <c r="H703" i="1"/>
  <c r="I703" i="1"/>
  <c r="J703" i="1"/>
  <c r="L703" i="1"/>
  <c r="M703" i="1"/>
  <c r="V703" i="1"/>
  <c r="AE703" i="1"/>
  <c r="C704" i="1"/>
  <c r="E704" i="1"/>
  <c r="F704" i="1"/>
  <c r="H704" i="1"/>
  <c r="I704" i="1"/>
  <c r="J704" i="1"/>
  <c r="L704" i="1"/>
  <c r="M704" i="1"/>
  <c r="V704" i="1"/>
  <c r="AE704" i="1"/>
  <c r="C705" i="1"/>
  <c r="E705" i="1"/>
  <c r="F705" i="1"/>
  <c r="H705" i="1"/>
  <c r="I705" i="1"/>
  <c r="J705" i="1"/>
  <c r="L705" i="1"/>
  <c r="M705" i="1"/>
  <c r="V705" i="1"/>
  <c r="AE705" i="1"/>
  <c r="C706" i="1"/>
  <c r="E706" i="1"/>
  <c r="F706" i="1"/>
  <c r="H706" i="1"/>
  <c r="I706" i="1"/>
  <c r="J706" i="1"/>
  <c r="L706" i="1"/>
  <c r="M706" i="1"/>
  <c r="V706" i="1"/>
  <c r="AE706" i="1"/>
  <c r="C707" i="1"/>
  <c r="E707" i="1"/>
  <c r="F707" i="1"/>
  <c r="H707" i="1"/>
  <c r="I707" i="1"/>
  <c r="J707" i="1"/>
  <c r="L707" i="1"/>
  <c r="M707" i="1"/>
  <c r="V707" i="1"/>
  <c r="AE707" i="1"/>
  <c r="C708" i="1"/>
  <c r="E708" i="1"/>
  <c r="F708" i="1"/>
  <c r="H708" i="1"/>
  <c r="I708" i="1"/>
  <c r="J708" i="1"/>
  <c r="L708" i="1"/>
  <c r="M708" i="1"/>
  <c r="V708" i="1"/>
  <c r="AE708" i="1"/>
  <c r="C709" i="1"/>
  <c r="E709" i="1"/>
  <c r="F709" i="1"/>
  <c r="H709" i="1"/>
  <c r="I709" i="1"/>
  <c r="J709" i="1"/>
  <c r="L709" i="1"/>
  <c r="M709" i="1"/>
  <c r="V709" i="1"/>
  <c r="AE709" i="1"/>
  <c r="C710" i="1"/>
  <c r="E710" i="1"/>
  <c r="F710" i="1"/>
  <c r="H710" i="1"/>
  <c r="I710" i="1"/>
  <c r="J710" i="1"/>
  <c r="L710" i="1"/>
  <c r="M710" i="1"/>
  <c r="V710" i="1"/>
  <c r="AE710" i="1"/>
  <c r="C711" i="1"/>
  <c r="E711" i="1"/>
  <c r="F711" i="1"/>
  <c r="H711" i="1"/>
  <c r="I711" i="1"/>
  <c r="J711" i="1"/>
  <c r="L711" i="1"/>
  <c r="M711" i="1"/>
  <c r="V711" i="1"/>
  <c r="AE711" i="1"/>
  <c r="C712" i="1"/>
  <c r="E712" i="1"/>
  <c r="F712" i="1"/>
  <c r="H712" i="1"/>
  <c r="I712" i="1"/>
  <c r="J712" i="1"/>
  <c r="L712" i="1"/>
  <c r="M712" i="1"/>
  <c r="V712" i="1"/>
  <c r="AE712" i="1"/>
  <c r="C713" i="1"/>
  <c r="E713" i="1"/>
  <c r="F713" i="1"/>
  <c r="H713" i="1"/>
  <c r="I713" i="1"/>
  <c r="J713" i="1"/>
  <c r="L713" i="1"/>
  <c r="M713" i="1"/>
  <c r="V713" i="1"/>
  <c r="AE713" i="1"/>
  <c r="C714" i="1"/>
  <c r="E714" i="1"/>
  <c r="F714" i="1"/>
  <c r="H714" i="1"/>
  <c r="I714" i="1"/>
  <c r="J714" i="1"/>
  <c r="L714" i="1"/>
  <c r="M714" i="1"/>
  <c r="V714" i="1"/>
  <c r="AE714" i="1"/>
  <c r="C715" i="1"/>
  <c r="E715" i="1"/>
  <c r="F715" i="1"/>
  <c r="H715" i="1"/>
  <c r="I715" i="1"/>
  <c r="J715" i="1"/>
  <c r="L715" i="1"/>
  <c r="M715" i="1"/>
  <c r="V715" i="1"/>
  <c r="AE715" i="1"/>
  <c r="C716" i="1"/>
  <c r="E716" i="1"/>
  <c r="F716" i="1"/>
  <c r="H716" i="1"/>
  <c r="I716" i="1"/>
  <c r="J716" i="1"/>
  <c r="L716" i="1"/>
  <c r="M716" i="1"/>
  <c r="V716" i="1"/>
  <c r="AE716" i="1"/>
  <c r="C717" i="1"/>
  <c r="E717" i="1"/>
  <c r="F717" i="1"/>
  <c r="H717" i="1"/>
  <c r="I717" i="1"/>
  <c r="J717" i="1"/>
  <c r="L717" i="1"/>
  <c r="M717" i="1"/>
  <c r="V717" i="1"/>
  <c r="AE717" i="1"/>
  <c r="C718" i="1"/>
  <c r="E718" i="1"/>
  <c r="F718" i="1"/>
  <c r="H718" i="1"/>
  <c r="I718" i="1"/>
  <c r="J718" i="1"/>
  <c r="L718" i="1"/>
  <c r="M718" i="1"/>
  <c r="V718" i="1"/>
  <c r="AE718" i="1"/>
  <c r="C719" i="1"/>
  <c r="E719" i="1"/>
  <c r="F719" i="1"/>
  <c r="H719" i="1"/>
  <c r="I719" i="1"/>
  <c r="J719" i="1"/>
  <c r="L719" i="1"/>
  <c r="M719" i="1"/>
  <c r="V719" i="1"/>
  <c r="AE719" i="1"/>
  <c r="C720" i="1"/>
  <c r="E720" i="1"/>
  <c r="F720" i="1"/>
  <c r="H720" i="1"/>
  <c r="I720" i="1"/>
  <c r="J720" i="1"/>
  <c r="L720" i="1"/>
  <c r="M720" i="1"/>
  <c r="V720" i="1"/>
  <c r="AE720" i="1"/>
  <c r="C721" i="1"/>
  <c r="E721" i="1"/>
  <c r="F721" i="1"/>
  <c r="H721" i="1"/>
  <c r="I721" i="1"/>
  <c r="J721" i="1"/>
  <c r="L721" i="1"/>
  <c r="M721" i="1"/>
  <c r="V721" i="1"/>
  <c r="AE721" i="1"/>
  <c r="C722" i="1"/>
  <c r="E722" i="1"/>
  <c r="F722" i="1"/>
  <c r="H722" i="1"/>
  <c r="I722" i="1"/>
  <c r="J722" i="1"/>
  <c r="L722" i="1"/>
  <c r="M722" i="1"/>
  <c r="V722" i="1"/>
  <c r="AE722" i="1"/>
  <c r="C723" i="1"/>
  <c r="E723" i="1"/>
  <c r="F723" i="1"/>
  <c r="H723" i="1"/>
  <c r="I723" i="1"/>
  <c r="J723" i="1"/>
  <c r="L723" i="1"/>
  <c r="M723" i="1"/>
  <c r="V723" i="1"/>
  <c r="AE723" i="1"/>
  <c r="C724" i="1"/>
  <c r="E724" i="1"/>
  <c r="F724" i="1"/>
  <c r="H724" i="1"/>
  <c r="I724" i="1"/>
  <c r="J724" i="1"/>
  <c r="L724" i="1"/>
  <c r="M724" i="1"/>
  <c r="V724" i="1"/>
  <c r="AE724" i="1"/>
  <c r="C725" i="1"/>
  <c r="E725" i="1"/>
  <c r="F725" i="1"/>
  <c r="H725" i="1"/>
  <c r="I725" i="1"/>
  <c r="J725" i="1"/>
  <c r="L725" i="1"/>
  <c r="M725" i="1"/>
  <c r="V725" i="1"/>
  <c r="AE725" i="1"/>
  <c r="C726" i="1"/>
  <c r="E726" i="1"/>
  <c r="F726" i="1"/>
  <c r="H726" i="1"/>
  <c r="I726" i="1"/>
  <c r="J726" i="1"/>
  <c r="L726" i="1"/>
  <c r="M726" i="1"/>
  <c r="V726" i="1"/>
  <c r="AE726" i="1"/>
  <c r="C727" i="1"/>
  <c r="E727" i="1"/>
  <c r="F727" i="1"/>
  <c r="H727" i="1"/>
  <c r="I727" i="1"/>
  <c r="J727" i="1"/>
  <c r="L727" i="1"/>
  <c r="M727" i="1"/>
  <c r="V727" i="1"/>
  <c r="AE727" i="1"/>
  <c r="C728" i="1"/>
  <c r="E728" i="1"/>
  <c r="F728" i="1"/>
  <c r="H728" i="1"/>
  <c r="I728" i="1"/>
  <c r="J728" i="1"/>
  <c r="L728" i="1"/>
  <c r="M728" i="1"/>
  <c r="V728" i="1"/>
  <c r="AE728" i="1"/>
  <c r="C729" i="1"/>
  <c r="E729" i="1"/>
  <c r="F729" i="1"/>
  <c r="H729" i="1"/>
  <c r="I729" i="1"/>
  <c r="J729" i="1"/>
  <c r="L729" i="1"/>
  <c r="M729" i="1"/>
  <c r="V729" i="1"/>
  <c r="AE729" i="1"/>
  <c r="C730" i="1"/>
  <c r="E730" i="1"/>
  <c r="F730" i="1"/>
  <c r="H730" i="1"/>
  <c r="I730" i="1"/>
  <c r="J730" i="1"/>
  <c r="L730" i="1"/>
  <c r="M730" i="1"/>
  <c r="V730" i="1"/>
  <c r="AE730" i="1"/>
  <c r="C731" i="1"/>
  <c r="E731" i="1"/>
  <c r="F731" i="1"/>
  <c r="H731" i="1"/>
  <c r="I731" i="1"/>
  <c r="J731" i="1"/>
  <c r="L731" i="1"/>
  <c r="M731" i="1"/>
  <c r="V731" i="1"/>
  <c r="AE731" i="1"/>
  <c r="C732" i="1"/>
  <c r="E732" i="1"/>
  <c r="F732" i="1"/>
  <c r="H732" i="1"/>
  <c r="I732" i="1"/>
  <c r="J732" i="1"/>
  <c r="L732" i="1"/>
  <c r="M732" i="1"/>
  <c r="V732" i="1"/>
  <c r="AE732" i="1"/>
  <c r="C733" i="1"/>
  <c r="E733" i="1"/>
  <c r="F733" i="1"/>
  <c r="H733" i="1"/>
  <c r="I733" i="1"/>
  <c r="J733" i="1"/>
  <c r="L733" i="1"/>
  <c r="M733" i="1"/>
  <c r="V733" i="1"/>
  <c r="AE733" i="1"/>
  <c r="C734" i="1"/>
  <c r="E734" i="1"/>
  <c r="F734" i="1"/>
  <c r="H734" i="1"/>
  <c r="I734" i="1"/>
  <c r="J734" i="1"/>
  <c r="L734" i="1"/>
  <c r="M734" i="1"/>
  <c r="V734" i="1"/>
  <c r="AE734" i="1"/>
  <c r="C735" i="1"/>
  <c r="E735" i="1"/>
  <c r="F735" i="1"/>
  <c r="H735" i="1"/>
  <c r="I735" i="1"/>
  <c r="J735" i="1"/>
  <c r="L735" i="1"/>
  <c r="M735" i="1"/>
  <c r="V735" i="1"/>
  <c r="AE735" i="1"/>
  <c r="C736" i="1"/>
  <c r="E736" i="1"/>
  <c r="F736" i="1"/>
  <c r="H736" i="1"/>
  <c r="I736" i="1"/>
  <c r="J736" i="1"/>
  <c r="L736" i="1"/>
  <c r="M736" i="1"/>
  <c r="V736" i="1"/>
  <c r="AE736" i="1"/>
  <c r="C737" i="1"/>
  <c r="E737" i="1"/>
  <c r="F737" i="1"/>
  <c r="H737" i="1"/>
  <c r="I737" i="1"/>
  <c r="J737" i="1"/>
  <c r="L737" i="1"/>
  <c r="M737" i="1"/>
  <c r="V737" i="1"/>
  <c r="AE737" i="1"/>
  <c r="C738" i="1"/>
  <c r="E738" i="1"/>
  <c r="F738" i="1"/>
  <c r="H738" i="1"/>
  <c r="I738" i="1"/>
  <c r="J738" i="1"/>
  <c r="L738" i="1"/>
  <c r="M738" i="1"/>
  <c r="V738" i="1"/>
  <c r="AE738" i="1"/>
  <c r="C739" i="1"/>
  <c r="E739" i="1"/>
  <c r="F739" i="1"/>
  <c r="H739" i="1"/>
  <c r="I739" i="1"/>
  <c r="J739" i="1"/>
  <c r="L739" i="1"/>
  <c r="M739" i="1"/>
  <c r="V739" i="1"/>
  <c r="AE739" i="1"/>
  <c r="C740" i="1"/>
  <c r="E740" i="1"/>
  <c r="F740" i="1"/>
  <c r="H740" i="1"/>
  <c r="I740" i="1"/>
  <c r="J740" i="1"/>
  <c r="L740" i="1"/>
  <c r="M740" i="1"/>
  <c r="V740" i="1"/>
  <c r="AE740" i="1"/>
  <c r="C741" i="1"/>
  <c r="E741" i="1"/>
  <c r="F741" i="1"/>
  <c r="H741" i="1"/>
  <c r="I741" i="1"/>
  <c r="J741" i="1"/>
  <c r="L741" i="1"/>
  <c r="M741" i="1"/>
  <c r="V741" i="1"/>
  <c r="AE741" i="1"/>
  <c r="C742" i="1"/>
  <c r="E742" i="1"/>
  <c r="F742" i="1"/>
  <c r="H742" i="1"/>
  <c r="I742" i="1"/>
  <c r="J742" i="1"/>
  <c r="L742" i="1"/>
  <c r="M742" i="1"/>
  <c r="V742" i="1"/>
  <c r="AE742" i="1"/>
  <c r="C743" i="1"/>
  <c r="E743" i="1"/>
  <c r="F743" i="1"/>
  <c r="H743" i="1"/>
  <c r="I743" i="1"/>
  <c r="J743" i="1"/>
  <c r="L743" i="1"/>
  <c r="M743" i="1"/>
  <c r="V743" i="1"/>
  <c r="AE743" i="1"/>
  <c r="C744" i="1"/>
  <c r="E744" i="1"/>
  <c r="F744" i="1"/>
  <c r="H744" i="1"/>
  <c r="I744" i="1"/>
  <c r="J744" i="1"/>
  <c r="L744" i="1"/>
  <c r="M744" i="1"/>
  <c r="AE744" i="1"/>
  <c r="C745" i="1"/>
  <c r="E745" i="1"/>
  <c r="F745" i="1"/>
  <c r="H745" i="1"/>
  <c r="I745" i="1"/>
  <c r="J745" i="1"/>
  <c r="L745" i="1"/>
  <c r="M745" i="1"/>
  <c r="V745" i="1"/>
  <c r="AE745" i="1"/>
  <c r="C746" i="1"/>
  <c r="E746" i="1"/>
  <c r="F746" i="1"/>
  <c r="H746" i="1"/>
  <c r="I746" i="1"/>
  <c r="J746" i="1"/>
  <c r="L746" i="1"/>
  <c r="M746" i="1"/>
  <c r="V746" i="1"/>
  <c r="AE746" i="1"/>
  <c r="C747" i="1"/>
  <c r="E747" i="1"/>
  <c r="F747" i="1"/>
  <c r="H747" i="1"/>
  <c r="I747" i="1"/>
  <c r="J747" i="1"/>
  <c r="L747" i="1"/>
  <c r="M747" i="1"/>
  <c r="V747" i="1"/>
  <c r="AE747" i="1"/>
  <c r="C748" i="1"/>
  <c r="E748" i="1"/>
  <c r="F748" i="1"/>
  <c r="H748" i="1"/>
  <c r="I748" i="1"/>
  <c r="J748" i="1"/>
  <c r="L748" i="1"/>
  <c r="M748" i="1"/>
  <c r="V748" i="1"/>
  <c r="AE748" i="1"/>
  <c r="C749" i="1"/>
  <c r="E749" i="1"/>
  <c r="F749" i="1"/>
  <c r="H749" i="1"/>
  <c r="I749" i="1"/>
  <c r="J749" i="1"/>
  <c r="L749" i="1"/>
  <c r="M749" i="1"/>
  <c r="V749" i="1"/>
  <c r="AE749" i="1"/>
  <c r="C750" i="1"/>
  <c r="E750" i="1"/>
  <c r="F750" i="1"/>
  <c r="H750" i="1"/>
  <c r="I750" i="1"/>
  <c r="J750" i="1"/>
  <c r="L750" i="1"/>
  <c r="M750" i="1"/>
  <c r="V750" i="1"/>
  <c r="AE750" i="1"/>
  <c r="C751" i="1"/>
  <c r="E751" i="1"/>
  <c r="F751" i="1"/>
  <c r="H751" i="1"/>
  <c r="I751" i="1"/>
  <c r="J751" i="1"/>
  <c r="L751" i="1"/>
  <c r="M751" i="1"/>
  <c r="V751" i="1"/>
  <c r="AE751" i="1"/>
  <c r="C752" i="1"/>
  <c r="E752" i="1"/>
  <c r="F752" i="1"/>
  <c r="H752" i="1"/>
  <c r="I752" i="1"/>
  <c r="J752" i="1"/>
  <c r="L752" i="1"/>
  <c r="M752" i="1"/>
  <c r="V752" i="1"/>
  <c r="AE752" i="1"/>
  <c r="C753" i="1"/>
  <c r="E753" i="1"/>
  <c r="F753" i="1"/>
  <c r="H753" i="1"/>
  <c r="I753" i="1"/>
  <c r="J753" i="1"/>
  <c r="L753" i="1"/>
  <c r="M753" i="1"/>
  <c r="V753" i="1"/>
  <c r="AE753" i="1"/>
  <c r="C754" i="1"/>
  <c r="E754" i="1"/>
  <c r="F754" i="1"/>
  <c r="H754" i="1"/>
  <c r="I754" i="1"/>
  <c r="J754" i="1"/>
  <c r="L754" i="1"/>
  <c r="M754" i="1"/>
  <c r="V754" i="1"/>
  <c r="AE754" i="1"/>
  <c r="C755" i="1"/>
  <c r="E755" i="1"/>
  <c r="F755" i="1"/>
  <c r="H755" i="1"/>
  <c r="I755" i="1"/>
  <c r="J755" i="1"/>
  <c r="L755" i="1"/>
  <c r="M755" i="1"/>
  <c r="V755" i="1"/>
  <c r="AE755" i="1"/>
  <c r="C756" i="1"/>
  <c r="E756" i="1"/>
  <c r="F756" i="1"/>
  <c r="H756" i="1"/>
  <c r="I756" i="1"/>
  <c r="J756" i="1"/>
  <c r="L756" i="1"/>
  <c r="M756" i="1"/>
  <c r="V756" i="1"/>
  <c r="AE756" i="1"/>
  <c r="C757" i="1"/>
  <c r="E757" i="1"/>
  <c r="F757" i="1"/>
  <c r="H757" i="1"/>
  <c r="I757" i="1"/>
  <c r="J757" i="1"/>
  <c r="L757" i="1"/>
  <c r="M757" i="1"/>
  <c r="V757" i="1"/>
  <c r="AE757" i="1"/>
  <c r="C758" i="1"/>
  <c r="E758" i="1"/>
  <c r="F758" i="1"/>
  <c r="H758" i="1"/>
  <c r="I758" i="1"/>
  <c r="J758" i="1"/>
  <c r="L758" i="1"/>
  <c r="M758" i="1"/>
  <c r="V758" i="1"/>
  <c r="AE758" i="1"/>
  <c r="C759" i="1"/>
  <c r="E759" i="1"/>
  <c r="F759" i="1"/>
  <c r="H759" i="1"/>
  <c r="I759" i="1"/>
  <c r="J759" i="1"/>
  <c r="L759" i="1"/>
  <c r="M759" i="1"/>
  <c r="V759" i="1"/>
  <c r="AE759" i="1"/>
  <c r="C760" i="1"/>
  <c r="E760" i="1"/>
  <c r="F760" i="1"/>
  <c r="H760" i="1"/>
  <c r="I760" i="1"/>
  <c r="J760" i="1"/>
  <c r="L760" i="1"/>
  <c r="M760" i="1"/>
  <c r="V760" i="1"/>
  <c r="AE760" i="1"/>
  <c r="C761" i="1"/>
  <c r="E761" i="1"/>
  <c r="F761" i="1"/>
  <c r="H761" i="1"/>
  <c r="I761" i="1"/>
  <c r="J761" i="1"/>
  <c r="L761" i="1"/>
  <c r="M761" i="1"/>
  <c r="V761" i="1"/>
  <c r="AE761" i="1"/>
  <c r="C762" i="1"/>
  <c r="E762" i="1"/>
  <c r="F762" i="1"/>
  <c r="H762" i="1"/>
  <c r="I762" i="1"/>
  <c r="J762" i="1"/>
  <c r="L762" i="1"/>
  <c r="M762" i="1"/>
  <c r="V762" i="1"/>
  <c r="AE762" i="1"/>
  <c r="C763" i="1"/>
  <c r="E763" i="1"/>
  <c r="F763" i="1"/>
  <c r="H763" i="1"/>
  <c r="I763" i="1"/>
  <c r="J763" i="1"/>
  <c r="L763" i="1"/>
  <c r="M763" i="1"/>
  <c r="V763" i="1"/>
  <c r="AE763" i="1"/>
  <c r="C764" i="1"/>
  <c r="E764" i="1"/>
  <c r="F764" i="1"/>
  <c r="H764" i="1"/>
  <c r="I764" i="1"/>
  <c r="J764" i="1"/>
  <c r="L764" i="1"/>
  <c r="M764" i="1"/>
  <c r="V764" i="1"/>
  <c r="AE764" i="1"/>
  <c r="C765" i="1"/>
  <c r="E765" i="1"/>
  <c r="F765" i="1"/>
  <c r="H765" i="1"/>
  <c r="I765" i="1"/>
  <c r="J765" i="1"/>
  <c r="L765" i="1"/>
  <c r="M765" i="1"/>
  <c r="V765" i="1"/>
  <c r="AE765" i="1"/>
  <c r="C766" i="1"/>
  <c r="E766" i="1"/>
  <c r="F766" i="1"/>
  <c r="H766" i="1"/>
  <c r="I766" i="1"/>
  <c r="J766" i="1"/>
  <c r="L766" i="1"/>
  <c r="M766" i="1"/>
  <c r="V766" i="1"/>
  <c r="AE766" i="1"/>
  <c r="C767" i="1"/>
  <c r="E767" i="1"/>
  <c r="F767" i="1"/>
  <c r="H767" i="1"/>
  <c r="I767" i="1"/>
  <c r="J767" i="1"/>
  <c r="L767" i="1"/>
  <c r="M767" i="1"/>
  <c r="V767" i="1"/>
  <c r="AE767" i="1"/>
  <c r="C768" i="1"/>
  <c r="E768" i="1"/>
  <c r="F768" i="1"/>
  <c r="H768" i="1"/>
  <c r="I768" i="1"/>
  <c r="J768" i="1"/>
  <c r="L768" i="1"/>
  <c r="M768" i="1"/>
  <c r="V768" i="1"/>
  <c r="AE768" i="1"/>
  <c r="C769" i="1"/>
  <c r="E769" i="1"/>
  <c r="F769" i="1"/>
  <c r="H769" i="1"/>
  <c r="I769" i="1"/>
  <c r="J769" i="1"/>
  <c r="L769" i="1"/>
  <c r="M769" i="1"/>
  <c r="V769" i="1"/>
  <c r="AE769" i="1"/>
  <c r="C770" i="1"/>
  <c r="E770" i="1"/>
  <c r="F770" i="1"/>
  <c r="H770" i="1"/>
  <c r="I770" i="1"/>
  <c r="J770" i="1"/>
  <c r="L770" i="1"/>
  <c r="M770" i="1"/>
  <c r="V770" i="1"/>
  <c r="AE770" i="1"/>
  <c r="C771" i="1"/>
  <c r="E771" i="1"/>
  <c r="F771" i="1"/>
  <c r="H771" i="1"/>
  <c r="I771" i="1"/>
  <c r="J771" i="1"/>
  <c r="L771" i="1"/>
  <c r="M771" i="1"/>
  <c r="V771" i="1"/>
  <c r="AE771" i="1"/>
  <c r="C772" i="1"/>
  <c r="E772" i="1"/>
  <c r="F772" i="1"/>
  <c r="H772" i="1"/>
  <c r="I772" i="1"/>
  <c r="J772" i="1"/>
  <c r="L772" i="1"/>
  <c r="M772" i="1"/>
  <c r="V772" i="1"/>
  <c r="AE772" i="1"/>
  <c r="C773" i="1"/>
  <c r="E773" i="1"/>
  <c r="F773" i="1"/>
  <c r="H773" i="1"/>
  <c r="I773" i="1"/>
  <c r="J773" i="1"/>
  <c r="L773" i="1"/>
  <c r="M773" i="1"/>
  <c r="V773" i="1"/>
  <c r="AE773" i="1"/>
  <c r="C774" i="1"/>
  <c r="E774" i="1"/>
  <c r="F774" i="1"/>
  <c r="H774" i="1"/>
  <c r="I774" i="1"/>
  <c r="J774" i="1"/>
  <c r="L774" i="1"/>
  <c r="M774" i="1"/>
  <c r="V774" i="1"/>
  <c r="AE774" i="1"/>
  <c r="C775" i="1"/>
  <c r="E775" i="1"/>
  <c r="F775" i="1"/>
  <c r="H775" i="1"/>
  <c r="I775" i="1"/>
  <c r="J775" i="1"/>
  <c r="L775" i="1"/>
  <c r="M775" i="1"/>
  <c r="V775" i="1"/>
  <c r="AE775" i="1"/>
  <c r="C776" i="1"/>
  <c r="E776" i="1"/>
  <c r="F776" i="1"/>
  <c r="H776" i="1"/>
  <c r="I776" i="1"/>
  <c r="J776" i="1"/>
  <c r="L776" i="1"/>
  <c r="M776" i="1"/>
  <c r="V776" i="1"/>
  <c r="AE776" i="1"/>
  <c r="C777" i="1"/>
  <c r="E777" i="1"/>
  <c r="F777" i="1"/>
  <c r="H777" i="1"/>
  <c r="I777" i="1"/>
  <c r="J777" i="1"/>
  <c r="L777" i="1"/>
  <c r="M777" i="1"/>
  <c r="V777" i="1"/>
  <c r="AE777" i="1"/>
  <c r="C778" i="1"/>
  <c r="E778" i="1"/>
  <c r="F778" i="1"/>
  <c r="H778" i="1"/>
  <c r="I778" i="1"/>
  <c r="J778" i="1"/>
  <c r="L778" i="1"/>
  <c r="M778" i="1"/>
  <c r="V778" i="1"/>
  <c r="AE778" i="1"/>
  <c r="C779" i="1"/>
  <c r="E779" i="1"/>
  <c r="F779" i="1"/>
  <c r="H779" i="1"/>
  <c r="I779" i="1"/>
  <c r="J779" i="1"/>
  <c r="L779" i="1"/>
  <c r="M779" i="1"/>
  <c r="V779" i="1"/>
  <c r="AE779" i="1"/>
  <c r="C780" i="1"/>
  <c r="E780" i="1"/>
  <c r="F780" i="1"/>
  <c r="H780" i="1"/>
  <c r="I780" i="1"/>
  <c r="J780" i="1"/>
  <c r="L780" i="1"/>
  <c r="M780" i="1"/>
  <c r="V780" i="1"/>
  <c r="AE780" i="1"/>
  <c r="C781" i="1"/>
  <c r="E781" i="1"/>
  <c r="F781" i="1"/>
  <c r="H781" i="1"/>
  <c r="I781" i="1"/>
  <c r="J781" i="1"/>
  <c r="L781" i="1"/>
  <c r="M781" i="1"/>
  <c r="V781" i="1"/>
  <c r="AE781" i="1"/>
  <c r="C782" i="1"/>
  <c r="E782" i="1"/>
  <c r="F782" i="1"/>
  <c r="H782" i="1"/>
  <c r="I782" i="1"/>
  <c r="J782" i="1"/>
  <c r="L782" i="1"/>
  <c r="M782" i="1"/>
  <c r="V782" i="1"/>
  <c r="AE782" i="1"/>
  <c r="C783" i="1"/>
  <c r="E783" i="1"/>
  <c r="F783" i="1"/>
  <c r="H783" i="1"/>
  <c r="I783" i="1"/>
  <c r="J783" i="1"/>
  <c r="L783" i="1"/>
  <c r="M783" i="1"/>
  <c r="V783" i="1"/>
  <c r="AE783" i="1"/>
  <c r="C784" i="1"/>
  <c r="E784" i="1"/>
  <c r="F784" i="1"/>
  <c r="H784" i="1"/>
  <c r="I784" i="1"/>
  <c r="J784" i="1"/>
  <c r="L784" i="1"/>
  <c r="M784" i="1"/>
  <c r="V784" i="1"/>
  <c r="AE784" i="1"/>
  <c r="C785" i="1"/>
  <c r="E785" i="1"/>
  <c r="F785" i="1"/>
  <c r="H785" i="1"/>
  <c r="I785" i="1"/>
  <c r="J785" i="1"/>
  <c r="L785" i="1"/>
  <c r="M785" i="1"/>
  <c r="AE785" i="1"/>
  <c r="C786" i="1"/>
  <c r="E786" i="1"/>
  <c r="F786" i="1"/>
  <c r="H786" i="1"/>
  <c r="I786" i="1"/>
  <c r="J786" i="1"/>
  <c r="L786" i="1"/>
  <c r="M786" i="1"/>
  <c r="V786" i="1"/>
  <c r="AE786" i="1"/>
  <c r="C787" i="1"/>
  <c r="E787" i="1"/>
  <c r="F787" i="1"/>
  <c r="H787" i="1"/>
  <c r="I787" i="1"/>
  <c r="J787" i="1"/>
  <c r="L787" i="1"/>
  <c r="M787" i="1"/>
  <c r="V787" i="1"/>
  <c r="AE787" i="1"/>
  <c r="C788" i="1"/>
  <c r="E788" i="1"/>
  <c r="F788" i="1"/>
  <c r="H788" i="1"/>
  <c r="I788" i="1"/>
  <c r="J788" i="1"/>
  <c r="L788" i="1"/>
  <c r="M788" i="1"/>
  <c r="V788" i="1"/>
  <c r="AE788" i="1"/>
  <c r="C789" i="1"/>
  <c r="E789" i="1"/>
  <c r="F789" i="1"/>
  <c r="H789" i="1"/>
  <c r="I789" i="1"/>
  <c r="J789" i="1"/>
  <c r="L789" i="1"/>
  <c r="M789" i="1"/>
  <c r="V789" i="1"/>
  <c r="AE789" i="1"/>
  <c r="C790" i="1"/>
  <c r="E790" i="1"/>
  <c r="F790" i="1"/>
  <c r="H790" i="1"/>
  <c r="I790" i="1"/>
  <c r="J790" i="1"/>
  <c r="L790" i="1"/>
  <c r="M790" i="1"/>
  <c r="V790" i="1"/>
  <c r="AE790" i="1"/>
  <c r="C791" i="1"/>
  <c r="E791" i="1"/>
  <c r="F791" i="1"/>
  <c r="H791" i="1"/>
  <c r="I791" i="1"/>
  <c r="J791" i="1"/>
  <c r="L791" i="1"/>
  <c r="M791" i="1"/>
  <c r="V791" i="1"/>
  <c r="AE791" i="1"/>
  <c r="C792" i="1"/>
  <c r="E792" i="1"/>
  <c r="F792" i="1"/>
  <c r="H792" i="1"/>
  <c r="I792" i="1"/>
  <c r="J792" i="1"/>
  <c r="L792" i="1"/>
  <c r="M792" i="1"/>
  <c r="V792" i="1"/>
  <c r="AE792" i="1"/>
  <c r="C793" i="1"/>
  <c r="E793" i="1"/>
  <c r="F793" i="1"/>
  <c r="H793" i="1"/>
  <c r="I793" i="1"/>
  <c r="J793" i="1"/>
  <c r="L793" i="1"/>
  <c r="M793" i="1"/>
  <c r="V793" i="1"/>
  <c r="AE793" i="1"/>
  <c r="C794" i="1"/>
  <c r="E794" i="1"/>
  <c r="F794" i="1"/>
  <c r="H794" i="1"/>
  <c r="I794" i="1"/>
  <c r="J794" i="1"/>
  <c r="L794" i="1"/>
  <c r="M794" i="1"/>
  <c r="V794" i="1"/>
  <c r="AE794" i="1"/>
  <c r="C795" i="1"/>
  <c r="E795" i="1"/>
  <c r="F795" i="1"/>
  <c r="H795" i="1"/>
  <c r="I795" i="1"/>
  <c r="J795" i="1"/>
  <c r="L795" i="1"/>
  <c r="M795" i="1"/>
  <c r="V795" i="1"/>
  <c r="AE795" i="1"/>
  <c r="C796" i="1"/>
  <c r="E796" i="1"/>
  <c r="F796" i="1"/>
  <c r="H796" i="1"/>
  <c r="I796" i="1"/>
  <c r="J796" i="1"/>
  <c r="L796" i="1"/>
  <c r="M796" i="1"/>
  <c r="V796" i="1"/>
  <c r="AE796" i="1"/>
  <c r="C797" i="1"/>
  <c r="E797" i="1"/>
  <c r="F797" i="1"/>
  <c r="H797" i="1"/>
  <c r="I797" i="1"/>
  <c r="J797" i="1"/>
  <c r="L797" i="1"/>
  <c r="M797" i="1"/>
  <c r="V797" i="1"/>
  <c r="AE797" i="1"/>
  <c r="C798" i="1"/>
  <c r="E798" i="1"/>
  <c r="F798" i="1"/>
  <c r="H798" i="1"/>
  <c r="I798" i="1"/>
  <c r="J798" i="1"/>
  <c r="L798" i="1"/>
  <c r="M798" i="1"/>
  <c r="V798" i="1"/>
  <c r="AE798" i="1"/>
  <c r="C799" i="1"/>
  <c r="E799" i="1"/>
  <c r="F799" i="1"/>
  <c r="H799" i="1"/>
  <c r="I799" i="1"/>
  <c r="J799" i="1"/>
  <c r="L799" i="1"/>
  <c r="M799" i="1"/>
  <c r="V799" i="1"/>
  <c r="AE799" i="1"/>
  <c r="C800" i="1"/>
  <c r="E800" i="1"/>
  <c r="F800" i="1"/>
  <c r="H800" i="1"/>
  <c r="I800" i="1"/>
  <c r="J800" i="1"/>
  <c r="L800" i="1"/>
  <c r="M800" i="1"/>
  <c r="V800" i="1"/>
  <c r="AE800" i="1"/>
  <c r="C801" i="1"/>
  <c r="E801" i="1"/>
  <c r="F801" i="1"/>
  <c r="H801" i="1"/>
  <c r="I801" i="1"/>
  <c r="J801" i="1"/>
  <c r="L801" i="1"/>
  <c r="M801" i="1"/>
  <c r="V801" i="1"/>
  <c r="AE801" i="1"/>
  <c r="C802" i="1"/>
  <c r="E802" i="1"/>
  <c r="F802" i="1"/>
  <c r="H802" i="1"/>
  <c r="I802" i="1"/>
  <c r="J802" i="1"/>
  <c r="L802" i="1"/>
  <c r="M802" i="1"/>
  <c r="V802" i="1"/>
  <c r="AE802" i="1"/>
  <c r="C803" i="1"/>
  <c r="E803" i="1"/>
  <c r="F803" i="1"/>
  <c r="H803" i="1"/>
  <c r="I803" i="1"/>
  <c r="J803" i="1"/>
  <c r="L803" i="1"/>
  <c r="M803" i="1"/>
  <c r="V803" i="1"/>
  <c r="AE803" i="1"/>
  <c r="C804" i="1"/>
  <c r="E804" i="1"/>
  <c r="F804" i="1"/>
  <c r="H804" i="1"/>
  <c r="I804" i="1"/>
  <c r="J804" i="1"/>
  <c r="L804" i="1"/>
  <c r="M804" i="1"/>
  <c r="V804" i="1"/>
  <c r="AE804" i="1"/>
  <c r="C805" i="1"/>
  <c r="E805" i="1"/>
  <c r="F805" i="1"/>
  <c r="H805" i="1"/>
  <c r="I805" i="1"/>
  <c r="J805" i="1"/>
  <c r="L805" i="1"/>
  <c r="M805" i="1"/>
  <c r="V805" i="1"/>
  <c r="AE805" i="1"/>
  <c r="C806" i="1"/>
  <c r="E806" i="1"/>
  <c r="F806" i="1"/>
  <c r="H806" i="1"/>
  <c r="I806" i="1"/>
  <c r="J806" i="1"/>
  <c r="L806" i="1"/>
  <c r="M806" i="1"/>
  <c r="V806" i="1"/>
  <c r="AE806" i="1"/>
  <c r="C807" i="1"/>
  <c r="E807" i="1"/>
  <c r="F807" i="1"/>
  <c r="H807" i="1"/>
  <c r="I807" i="1"/>
  <c r="J807" i="1"/>
  <c r="L807" i="1"/>
  <c r="M807" i="1"/>
  <c r="V807" i="1"/>
  <c r="AE807" i="1"/>
  <c r="C808" i="1"/>
  <c r="E808" i="1"/>
  <c r="F808" i="1"/>
  <c r="H808" i="1"/>
  <c r="I808" i="1"/>
  <c r="J808" i="1"/>
  <c r="L808" i="1"/>
  <c r="M808" i="1"/>
  <c r="V808" i="1"/>
  <c r="AE808" i="1"/>
  <c r="C809" i="1"/>
  <c r="E809" i="1"/>
  <c r="F809" i="1"/>
  <c r="H809" i="1"/>
  <c r="I809" i="1"/>
  <c r="J809" i="1"/>
  <c r="L809" i="1"/>
  <c r="M809" i="1"/>
  <c r="V809" i="1"/>
  <c r="AE809" i="1"/>
  <c r="C810" i="1"/>
  <c r="E810" i="1"/>
  <c r="F810" i="1"/>
  <c r="H810" i="1"/>
  <c r="I810" i="1"/>
  <c r="J810" i="1"/>
  <c r="L810" i="1"/>
  <c r="M810" i="1"/>
  <c r="V810" i="1"/>
  <c r="AE810" i="1"/>
  <c r="C811" i="1"/>
  <c r="E811" i="1"/>
  <c r="F811" i="1"/>
  <c r="H811" i="1"/>
  <c r="I811" i="1"/>
  <c r="J811" i="1"/>
  <c r="L811" i="1"/>
  <c r="M811" i="1"/>
  <c r="V811" i="1"/>
  <c r="AE811" i="1"/>
  <c r="C812" i="1"/>
  <c r="E812" i="1"/>
  <c r="F812" i="1"/>
  <c r="H812" i="1"/>
  <c r="I812" i="1"/>
  <c r="J812" i="1"/>
  <c r="L812" i="1"/>
  <c r="M812" i="1"/>
  <c r="V812" i="1"/>
  <c r="AE812" i="1"/>
  <c r="C813" i="1"/>
  <c r="E813" i="1"/>
  <c r="F813" i="1"/>
  <c r="H813" i="1"/>
  <c r="I813" i="1"/>
  <c r="J813" i="1"/>
  <c r="L813" i="1"/>
  <c r="M813" i="1"/>
  <c r="V813" i="1"/>
  <c r="AE813" i="1"/>
  <c r="C814" i="1"/>
  <c r="E814" i="1"/>
  <c r="F814" i="1"/>
  <c r="H814" i="1"/>
  <c r="I814" i="1"/>
  <c r="J814" i="1"/>
  <c r="L814" i="1"/>
  <c r="M814" i="1"/>
  <c r="V814" i="1"/>
  <c r="AE814" i="1"/>
  <c r="C815" i="1"/>
  <c r="E815" i="1"/>
  <c r="F815" i="1"/>
  <c r="H815" i="1"/>
  <c r="I815" i="1"/>
  <c r="J815" i="1"/>
  <c r="L815" i="1"/>
  <c r="M815" i="1"/>
  <c r="V815" i="1"/>
  <c r="AE815" i="1"/>
  <c r="C816" i="1"/>
  <c r="E816" i="1"/>
  <c r="F816" i="1"/>
  <c r="H816" i="1"/>
  <c r="I816" i="1"/>
  <c r="J816" i="1"/>
  <c r="L816" i="1"/>
  <c r="M816" i="1"/>
  <c r="V816" i="1"/>
  <c r="AE816" i="1"/>
  <c r="C817" i="1"/>
  <c r="E817" i="1"/>
  <c r="F817" i="1"/>
  <c r="H817" i="1"/>
  <c r="I817" i="1"/>
  <c r="J817" i="1"/>
  <c r="L817" i="1"/>
  <c r="M817" i="1"/>
  <c r="V817" i="1"/>
  <c r="AE817" i="1"/>
  <c r="C818" i="1"/>
  <c r="E818" i="1"/>
  <c r="F818" i="1"/>
  <c r="H818" i="1"/>
  <c r="I818" i="1"/>
  <c r="J818" i="1"/>
  <c r="L818" i="1"/>
  <c r="M818" i="1"/>
  <c r="V818" i="1"/>
  <c r="AE818" i="1"/>
  <c r="C819" i="1"/>
  <c r="E819" i="1"/>
  <c r="F819" i="1"/>
  <c r="H819" i="1"/>
  <c r="I819" i="1"/>
  <c r="J819" i="1"/>
  <c r="L819" i="1"/>
  <c r="M819" i="1"/>
  <c r="V819" i="1"/>
  <c r="AE819" i="1"/>
  <c r="C820" i="1"/>
  <c r="E820" i="1"/>
  <c r="F820" i="1"/>
  <c r="H820" i="1"/>
  <c r="I820" i="1"/>
  <c r="J820" i="1"/>
  <c r="L820" i="1"/>
  <c r="M820" i="1"/>
  <c r="V820" i="1"/>
  <c r="AE820" i="1"/>
  <c r="C821" i="1"/>
  <c r="E821" i="1"/>
  <c r="F821" i="1"/>
  <c r="H821" i="1"/>
  <c r="I821" i="1"/>
  <c r="J821" i="1"/>
  <c r="L821" i="1"/>
  <c r="M821" i="1"/>
  <c r="V821" i="1"/>
  <c r="AE821" i="1"/>
  <c r="C822" i="1"/>
  <c r="E822" i="1"/>
  <c r="F822" i="1"/>
  <c r="H822" i="1"/>
  <c r="I822" i="1"/>
  <c r="J822" i="1"/>
  <c r="L822" i="1"/>
  <c r="M822" i="1"/>
  <c r="V822" i="1"/>
  <c r="AE822" i="1"/>
  <c r="C823" i="1"/>
  <c r="E823" i="1"/>
  <c r="F823" i="1"/>
  <c r="H823" i="1"/>
  <c r="I823" i="1"/>
  <c r="J823" i="1"/>
  <c r="L823" i="1"/>
  <c r="M823" i="1"/>
  <c r="V823" i="1"/>
  <c r="AE823" i="1"/>
  <c r="C824" i="1"/>
  <c r="E824" i="1"/>
  <c r="F824" i="1"/>
  <c r="H824" i="1"/>
  <c r="I824" i="1"/>
  <c r="J824" i="1"/>
  <c r="L824" i="1"/>
  <c r="M824" i="1"/>
  <c r="V824" i="1"/>
  <c r="AE824" i="1"/>
  <c r="C825" i="1"/>
  <c r="E825" i="1"/>
  <c r="F825" i="1"/>
  <c r="H825" i="1"/>
  <c r="I825" i="1"/>
  <c r="J825" i="1"/>
  <c r="L825" i="1"/>
  <c r="M825" i="1"/>
  <c r="V825" i="1"/>
  <c r="AE825" i="1"/>
  <c r="C826" i="1"/>
  <c r="E826" i="1"/>
  <c r="F826" i="1"/>
  <c r="H826" i="1"/>
  <c r="I826" i="1"/>
  <c r="J826" i="1"/>
  <c r="L826" i="1"/>
  <c r="M826" i="1"/>
  <c r="V826" i="1"/>
  <c r="AE826" i="1"/>
  <c r="C827" i="1"/>
  <c r="E827" i="1"/>
  <c r="F827" i="1"/>
  <c r="H827" i="1"/>
  <c r="I827" i="1"/>
  <c r="J827" i="1"/>
  <c r="L827" i="1"/>
  <c r="M827" i="1"/>
  <c r="V827" i="1"/>
  <c r="AE827" i="1"/>
  <c r="C828" i="1"/>
  <c r="E828" i="1"/>
  <c r="F828" i="1"/>
  <c r="H828" i="1"/>
  <c r="I828" i="1"/>
  <c r="J828" i="1"/>
  <c r="L828" i="1"/>
  <c r="M828" i="1"/>
  <c r="V828" i="1"/>
  <c r="AE828" i="1"/>
  <c r="C829" i="1"/>
  <c r="E829" i="1"/>
  <c r="F829" i="1"/>
  <c r="H829" i="1"/>
  <c r="I829" i="1"/>
  <c r="J829" i="1"/>
  <c r="L829" i="1"/>
  <c r="M829" i="1"/>
  <c r="V829" i="1"/>
  <c r="AE829" i="1"/>
  <c r="C830" i="1"/>
  <c r="E830" i="1"/>
  <c r="F830" i="1"/>
  <c r="H830" i="1"/>
  <c r="I830" i="1"/>
  <c r="J830" i="1"/>
  <c r="L830" i="1"/>
  <c r="M830" i="1"/>
  <c r="V830" i="1"/>
  <c r="AE830" i="1"/>
  <c r="C831" i="1"/>
  <c r="E831" i="1"/>
  <c r="F831" i="1"/>
  <c r="H831" i="1"/>
  <c r="I831" i="1"/>
  <c r="J831" i="1"/>
  <c r="L831" i="1"/>
  <c r="M831" i="1"/>
  <c r="V831" i="1"/>
  <c r="AE831" i="1"/>
  <c r="C832" i="1"/>
  <c r="E832" i="1"/>
  <c r="F832" i="1"/>
  <c r="H832" i="1"/>
  <c r="I832" i="1"/>
  <c r="J832" i="1"/>
  <c r="L832" i="1"/>
  <c r="M832" i="1"/>
  <c r="V832" i="1"/>
  <c r="AE832" i="1"/>
  <c r="C833" i="1"/>
  <c r="E833" i="1"/>
  <c r="F833" i="1"/>
  <c r="H833" i="1"/>
  <c r="I833" i="1"/>
  <c r="J833" i="1"/>
  <c r="L833" i="1"/>
  <c r="M833" i="1"/>
  <c r="V833" i="1"/>
  <c r="AE833" i="1"/>
  <c r="C834" i="1"/>
  <c r="E834" i="1"/>
  <c r="F834" i="1"/>
  <c r="H834" i="1"/>
  <c r="I834" i="1"/>
  <c r="J834" i="1"/>
  <c r="L834" i="1"/>
  <c r="M834" i="1"/>
  <c r="V834" i="1"/>
  <c r="AE834" i="1"/>
  <c r="C835" i="1"/>
  <c r="E835" i="1"/>
  <c r="F835" i="1"/>
  <c r="H835" i="1"/>
  <c r="I835" i="1"/>
  <c r="J835" i="1"/>
  <c r="L835" i="1"/>
  <c r="M835" i="1"/>
  <c r="V835" i="1"/>
  <c r="AE835" i="1"/>
  <c r="C836" i="1"/>
  <c r="E836" i="1"/>
  <c r="F836" i="1"/>
  <c r="H836" i="1"/>
  <c r="I836" i="1"/>
  <c r="J836" i="1"/>
  <c r="L836" i="1"/>
  <c r="M836" i="1"/>
  <c r="V836" i="1"/>
  <c r="AE836" i="1"/>
  <c r="C837" i="1"/>
  <c r="E837" i="1"/>
  <c r="F837" i="1"/>
  <c r="H837" i="1"/>
  <c r="I837" i="1"/>
  <c r="J837" i="1"/>
  <c r="L837" i="1"/>
  <c r="M837" i="1"/>
  <c r="V837" i="1"/>
  <c r="AE837" i="1"/>
  <c r="C838" i="1"/>
  <c r="E838" i="1"/>
  <c r="F838" i="1"/>
  <c r="H838" i="1"/>
  <c r="I838" i="1"/>
  <c r="J838" i="1"/>
  <c r="L838" i="1"/>
  <c r="M838" i="1"/>
  <c r="V838" i="1"/>
  <c r="AE838" i="1"/>
  <c r="C839" i="1"/>
  <c r="E839" i="1"/>
  <c r="F839" i="1"/>
  <c r="H839" i="1"/>
  <c r="I839" i="1"/>
  <c r="J839" i="1"/>
  <c r="L839" i="1"/>
  <c r="M839" i="1"/>
  <c r="V839" i="1"/>
  <c r="AE839" i="1"/>
  <c r="C840" i="1"/>
  <c r="E840" i="1"/>
  <c r="F840" i="1"/>
  <c r="H840" i="1"/>
  <c r="I840" i="1"/>
  <c r="J840" i="1"/>
  <c r="L840" i="1"/>
  <c r="M840" i="1"/>
  <c r="V840" i="1"/>
  <c r="AE840" i="1"/>
  <c r="C841" i="1"/>
  <c r="E841" i="1"/>
  <c r="F841" i="1"/>
  <c r="H841" i="1"/>
  <c r="I841" i="1"/>
  <c r="J841" i="1"/>
  <c r="L841" i="1"/>
  <c r="M841" i="1"/>
  <c r="V841" i="1"/>
  <c r="AE841" i="1"/>
  <c r="C842" i="1"/>
  <c r="E842" i="1"/>
  <c r="F842" i="1"/>
  <c r="H842" i="1"/>
  <c r="I842" i="1"/>
  <c r="J842" i="1"/>
  <c r="L842" i="1"/>
  <c r="M842" i="1"/>
  <c r="V842" i="1"/>
  <c r="AE842" i="1"/>
  <c r="C843" i="1"/>
  <c r="E843" i="1"/>
  <c r="F843" i="1"/>
  <c r="H843" i="1"/>
  <c r="I843" i="1"/>
  <c r="J843" i="1"/>
  <c r="L843" i="1"/>
  <c r="M843" i="1"/>
  <c r="V843" i="1"/>
  <c r="AE843" i="1"/>
  <c r="C844" i="1"/>
  <c r="E844" i="1"/>
  <c r="F844" i="1"/>
  <c r="H844" i="1"/>
  <c r="I844" i="1"/>
  <c r="J844" i="1"/>
  <c r="L844" i="1"/>
  <c r="M844" i="1"/>
  <c r="V844" i="1"/>
  <c r="AE844" i="1"/>
  <c r="C845" i="1"/>
  <c r="E845" i="1"/>
  <c r="F845" i="1"/>
  <c r="H845" i="1"/>
  <c r="I845" i="1"/>
  <c r="J845" i="1"/>
  <c r="L845" i="1"/>
  <c r="M845" i="1"/>
  <c r="V845" i="1"/>
  <c r="AE845" i="1"/>
  <c r="C846" i="1"/>
  <c r="E846" i="1"/>
  <c r="F846" i="1"/>
  <c r="H846" i="1"/>
  <c r="I846" i="1"/>
  <c r="J846" i="1"/>
  <c r="L846" i="1"/>
  <c r="M846" i="1"/>
  <c r="V846" i="1"/>
  <c r="AE846" i="1"/>
  <c r="C847" i="1"/>
  <c r="E847" i="1"/>
  <c r="F847" i="1"/>
  <c r="H847" i="1"/>
  <c r="I847" i="1"/>
  <c r="J847" i="1"/>
  <c r="L847" i="1"/>
  <c r="M847" i="1"/>
  <c r="V847" i="1"/>
  <c r="AE847" i="1"/>
  <c r="C848" i="1"/>
  <c r="E848" i="1"/>
  <c r="F848" i="1"/>
  <c r="H848" i="1"/>
  <c r="I848" i="1"/>
  <c r="J848" i="1"/>
  <c r="L848" i="1"/>
  <c r="M848" i="1"/>
  <c r="V848" i="1"/>
  <c r="AE848" i="1"/>
  <c r="C849" i="1"/>
  <c r="E849" i="1"/>
  <c r="F849" i="1"/>
  <c r="H849" i="1"/>
  <c r="I849" i="1"/>
  <c r="J849" i="1"/>
  <c r="L849" i="1"/>
  <c r="M849" i="1"/>
  <c r="V849" i="1"/>
  <c r="AE849" i="1"/>
  <c r="C850" i="1"/>
  <c r="E850" i="1"/>
  <c r="F850" i="1"/>
  <c r="H850" i="1"/>
  <c r="I850" i="1"/>
  <c r="J850" i="1"/>
  <c r="L850" i="1"/>
  <c r="M850" i="1"/>
  <c r="V850" i="1"/>
  <c r="AE850" i="1"/>
  <c r="C851" i="1"/>
  <c r="E851" i="1"/>
  <c r="F851" i="1"/>
  <c r="H851" i="1"/>
  <c r="I851" i="1"/>
  <c r="J851" i="1"/>
  <c r="L851" i="1"/>
  <c r="M851" i="1"/>
  <c r="V851" i="1"/>
  <c r="AE851" i="1"/>
  <c r="C852" i="1"/>
  <c r="E852" i="1"/>
  <c r="F852" i="1"/>
  <c r="H852" i="1"/>
  <c r="I852" i="1"/>
  <c r="J852" i="1"/>
  <c r="L852" i="1"/>
  <c r="M852" i="1"/>
  <c r="V852" i="1"/>
  <c r="AE852" i="1"/>
  <c r="C853" i="1"/>
  <c r="E853" i="1"/>
  <c r="F853" i="1"/>
  <c r="H853" i="1"/>
  <c r="I853" i="1"/>
  <c r="J853" i="1"/>
  <c r="L853" i="1"/>
  <c r="M853" i="1"/>
  <c r="V853" i="1"/>
  <c r="AE853" i="1"/>
  <c r="C854" i="1"/>
  <c r="E854" i="1"/>
  <c r="F854" i="1"/>
  <c r="H854" i="1"/>
  <c r="I854" i="1"/>
  <c r="J854" i="1"/>
  <c r="L854" i="1"/>
  <c r="M854" i="1"/>
  <c r="V854" i="1"/>
  <c r="AE854" i="1"/>
  <c r="C855" i="1"/>
  <c r="E855" i="1"/>
  <c r="F855" i="1"/>
  <c r="H855" i="1"/>
  <c r="I855" i="1"/>
  <c r="J855" i="1"/>
  <c r="L855" i="1"/>
  <c r="M855" i="1"/>
  <c r="V855" i="1"/>
  <c r="AE855" i="1"/>
  <c r="C856" i="1"/>
  <c r="E856" i="1"/>
  <c r="F856" i="1"/>
  <c r="H856" i="1"/>
  <c r="I856" i="1"/>
  <c r="J856" i="1"/>
  <c r="L856" i="1"/>
  <c r="M856" i="1"/>
  <c r="V856" i="1"/>
  <c r="AE856" i="1"/>
  <c r="C857" i="1"/>
  <c r="E857" i="1"/>
  <c r="F857" i="1"/>
  <c r="H857" i="1"/>
  <c r="I857" i="1"/>
  <c r="J857" i="1"/>
  <c r="L857" i="1"/>
  <c r="M857" i="1"/>
  <c r="V857" i="1"/>
  <c r="AE857" i="1"/>
  <c r="C858" i="1"/>
  <c r="E858" i="1"/>
  <c r="F858" i="1"/>
  <c r="H858" i="1"/>
  <c r="I858" i="1"/>
  <c r="J858" i="1"/>
  <c r="L858" i="1"/>
  <c r="M858" i="1"/>
  <c r="V858" i="1"/>
  <c r="AE858" i="1"/>
  <c r="C859" i="1"/>
  <c r="E859" i="1"/>
  <c r="F859" i="1"/>
  <c r="H859" i="1"/>
  <c r="I859" i="1"/>
  <c r="J859" i="1"/>
  <c r="L859" i="1"/>
  <c r="M859" i="1"/>
  <c r="V859" i="1"/>
  <c r="AE859" i="1"/>
  <c r="C860" i="1"/>
  <c r="E860" i="1"/>
  <c r="F860" i="1"/>
  <c r="H860" i="1"/>
  <c r="I860" i="1"/>
  <c r="J860" i="1"/>
  <c r="L860" i="1"/>
  <c r="M860" i="1"/>
  <c r="V860" i="1"/>
  <c r="AE860" i="1"/>
  <c r="C861" i="1"/>
  <c r="E861" i="1"/>
  <c r="F861" i="1"/>
  <c r="H861" i="1"/>
  <c r="I861" i="1"/>
  <c r="J861" i="1"/>
  <c r="L861" i="1"/>
  <c r="M861" i="1"/>
  <c r="V861" i="1"/>
  <c r="AE861" i="1"/>
  <c r="C862" i="1"/>
  <c r="E862" i="1"/>
  <c r="F862" i="1"/>
  <c r="H862" i="1"/>
  <c r="I862" i="1"/>
  <c r="J862" i="1"/>
  <c r="L862" i="1"/>
  <c r="M862" i="1"/>
  <c r="V862" i="1"/>
  <c r="AE862" i="1"/>
  <c r="C863" i="1"/>
  <c r="E863" i="1"/>
  <c r="F863" i="1"/>
  <c r="H863" i="1"/>
  <c r="I863" i="1"/>
  <c r="J863" i="1"/>
  <c r="L863" i="1"/>
  <c r="M863" i="1"/>
  <c r="V863" i="1"/>
  <c r="AE863" i="1"/>
  <c r="C864" i="1"/>
  <c r="E864" i="1"/>
  <c r="F864" i="1"/>
  <c r="H864" i="1"/>
  <c r="I864" i="1"/>
  <c r="J864" i="1"/>
  <c r="L864" i="1"/>
  <c r="M864" i="1"/>
  <c r="V864" i="1"/>
  <c r="AE864" i="1"/>
  <c r="C865" i="1"/>
  <c r="E865" i="1"/>
  <c r="F865" i="1"/>
  <c r="H865" i="1"/>
  <c r="I865" i="1"/>
  <c r="J865" i="1"/>
  <c r="L865" i="1"/>
  <c r="M865" i="1"/>
  <c r="V865" i="1"/>
  <c r="AE865" i="1"/>
  <c r="C866" i="1"/>
  <c r="E866" i="1"/>
  <c r="F866" i="1"/>
  <c r="H866" i="1"/>
  <c r="I866" i="1"/>
  <c r="J866" i="1"/>
  <c r="L866" i="1"/>
  <c r="M866" i="1"/>
  <c r="V866" i="1"/>
  <c r="AE866" i="1"/>
  <c r="C867" i="1"/>
  <c r="E867" i="1"/>
  <c r="F867" i="1"/>
  <c r="H867" i="1"/>
  <c r="I867" i="1"/>
  <c r="J867" i="1"/>
  <c r="L867" i="1"/>
  <c r="M867" i="1"/>
  <c r="V867" i="1"/>
  <c r="AE867" i="1"/>
  <c r="C868" i="1"/>
  <c r="E868" i="1"/>
  <c r="F868" i="1"/>
  <c r="H868" i="1"/>
  <c r="I868" i="1"/>
  <c r="J868" i="1"/>
  <c r="L868" i="1"/>
  <c r="M868" i="1"/>
  <c r="V868" i="1"/>
  <c r="AE868" i="1"/>
  <c r="C869" i="1"/>
  <c r="E869" i="1"/>
  <c r="F869" i="1"/>
  <c r="H869" i="1"/>
  <c r="I869" i="1"/>
  <c r="J869" i="1"/>
  <c r="L869" i="1"/>
  <c r="M869" i="1"/>
  <c r="V869" i="1"/>
  <c r="AE869" i="1"/>
  <c r="C870" i="1"/>
  <c r="E870" i="1"/>
  <c r="F870" i="1"/>
  <c r="H870" i="1"/>
  <c r="I870" i="1"/>
  <c r="J870" i="1"/>
  <c r="L870" i="1"/>
  <c r="M870" i="1"/>
  <c r="V870" i="1"/>
  <c r="AE870" i="1"/>
  <c r="C871" i="1"/>
  <c r="E871" i="1"/>
  <c r="F871" i="1"/>
  <c r="H871" i="1"/>
  <c r="I871" i="1"/>
  <c r="J871" i="1"/>
  <c r="L871" i="1"/>
  <c r="M871" i="1"/>
  <c r="V871" i="1"/>
  <c r="AE871" i="1"/>
  <c r="C872" i="1"/>
  <c r="E872" i="1"/>
  <c r="F872" i="1"/>
  <c r="H872" i="1"/>
  <c r="I872" i="1"/>
  <c r="J872" i="1"/>
  <c r="L872" i="1"/>
  <c r="M872" i="1"/>
  <c r="V872" i="1"/>
  <c r="AE872" i="1"/>
  <c r="C873" i="1"/>
  <c r="E873" i="1"/>
  <c r="F873" i="1"/>
  <c r="H873" i="1"/>
  <c r="I873" i="1"/>
  <c r="J873" i="1"/>
  <c r="L873" i="1"/>
  <c r="M873" i="1"/>
  <c r="V873" i="1"/>
  <c r="AE873" i="1"/>
  <c r="C874" i="1"/>
  <c r="E874" i="1"/>
  <c r="F874" i="1"/>
  <c r="H874" i="1"/>
  <c r="I874" i="1"/>
  <c r="J874" i="1"/>
  <c r="L874" i="1"/>
  <c r="M874" i="1"/>
  <c r="V874" i="1"/>
  <c r="AE874" i="1"/>
  <c r="C875" i="1"/>
  <c r="E875" i="1"/>
  <c r="F875" i="1"/>
  <c r="H875" i="1"/>
  <c r="I875" i="1"/>
  <c r="J875" i="1"/>
  <c r="L875" i="1"/>
  <c r="M875" i="1"/>
  <c r="V875" i="1"/>
  <c r="AE875" i="1"/>
  <c r="C876" i="1"/>
  <c r="E876" i="1"/>
  <c r="F876" i="1"/>
  <c r="H876" i="1"/>
  <c r="I876" i="1"/>
  <c r="J876" i="1"/>
  <c r="L876" i="1"/>
  <c r="M876" i="1"/>
  <c r="V876" i="1"/>
  <c r="AE876" i="1"/>
  <c r="C877" i="1"/>
  <c r="E877" i="1"/>
  <c r="F877" i="1"/>
  <c r="H877" i="1"/>
  <c r="I877" i="1"/>
  <c r="J877" i="1"/>
  <c r="L877" i="1"/>
  <c r="M877" i="1"/>
  <c r="V877" i="1"/>
  <c r="AE877" i="1"/>
  <c r="C878" i="1"/>
  <c r="E878" i="1"/>
  <c r="F878" i="1"/>
  <c r="H878" i="1"/>
  <c r="I878" i="1"/>
  <c r="J878" i="1"/>
  <c r="L878" i="1"/>
  <c r="M878" i="1"/>
  <c r="AE878" i="1"/>
  <c r="C879" i="1"/>
  <c r="E879" i="1"/>
  <c r="F879" i="1"/>
  <c r="H879" i="1"/>
  <c r="I879" i="1"/>
  <c r="J879" i="1"/>
  <c r="L879" i="1"/>
  <c r="M879" i="1"/>
  <c r="V879" i="1"/>
  <c r="AE879" i="1"/>
  <c r="C880" i="1"/>
  <c r="E880" i="1"/>
  <c r="F880" i="1"/>
  <c r="H880" i="1"/>
  <c r="I880" i="1"/>
  <c r="J880" i="1"/>
  <c r="L880" i="1"/>
  <c r="M880" i="1"/>
  <c r="V880" i="1"/>
  <c r="AE880" i="1"/>
  <c r="C881" i="1"/>
  <c r="E881" i="1"/>
  <c r="F881" i="1"/>
  <c r="H881" i="1"/>
  <c r="I881" i="1"/>
  <c r="J881" i="1"/>
  <c r="L881" i="1"/>
  <c r="M881" i="1"/>
  <c r="V881" i="1"/>
  <c r="AE881" i="1"/>
  <c r="C882" i="1"/>
  <c r="E882" i="1"/>
  <c r="F882" i="1"/>
  <c r="H882" i="1"/>
  <c r="I882" i="1"/>
  <c r="J882" i="1"/>
  <c r="L882" i="1"/>
  <c r="M882" i="1"/>
  <c r="V882" i="1"/>
  <c r="AE882" i="1"/>
  <c r="C883" i="1"/>
  <c r="E883" i="1"/>
  <c r="F883" i="1"/>
  <c r="H883" i="1"/>
  <c r="I883" i="1"/>
  <c r="J883" i="1"/>
  <c r="L883" i="1"/>
  <c r="M883" i="1"/>
  <c r="V883" i="1"/>
  <c r="AE883" i="1"/>
  <c r="C884" i="1"/>
  <c r="E884" i="1"/>
  <c r="F884" i="1"/>
  <c r="H884" i="1"/>
  <c r="I884" i="1"/>
  <c r="J884" i="1"/>
  <c r="L884" i="1"/>
  <c r="M884" i="1"/>
  <c r="V884" i="1"/>
  <c r="AE884" i="1"/>
  <c r="C885" i="1"/>
  <c r="E885" i="1"/>
  <c r="F885" i="1"/>
  <c r="H885" i="1"/>
  <c r="I885" i="1"/>
  <c r="J885" i="1"/>
  <c r="L885" i="1"/>
  <c r="M885" i="1"/>
  <c r="V885" i="1"/>
  <c r="AE885" i="1"/>
  <c r="C886" i="1"/>
  <c r="E886" i="1"/>
  <c r="F886" i="1"/>
  <c r="H886" i="1"/>
  <c r="I886" i="1"/>
  <c r="J886" i="1"/>
  <c r="L886" i="1"/>
  <c r="M886" i="1"/>
  <c r="V886" i="1"/>
  <c r="AE886" i="1"/>
  <c r="C887" i="1"/>
  <c r="E887" i="1"/>
  <c r="F887" i="1"/>
  <c r="H887" i="1"/>
  <c r="I887" i="1"/>
  <c r="J887" i="1"/>
  <c r="L887" i="1"/>
  <c r="M887" i="1"/>
  <c r="V887" i="1"/>
  <c r="AE887" i="1"/>
  <c r="C888" i="1"/>
  <c r="E888" i="1"/>
  <c r="F888" i="1"/>
  <c r="H888" i="1"/>
  <c r="I888" i="1"/>
  <c r="J888" i="1"/>
  <c r="L888" i="1"/>
  <c r="M888" i="1"/>
  <c r="V888" i="1"/>
  <c r="AE888" i="1"/>
  <c r="C889" i="1"/>
  <c r="E889" i="1"/>
  <c r="F889" i="1"/>
  <c r="H889" i="1"/>
  <c r="I889" i="1"/>
  <c r="J889" i="1"/>
  <c r="L889" i="1"/>
  <c r="M889" i="1"/>
  <c r="V889" i="1"/>
  <c r="AE889" i="1"/>
  <c r="C890" i="1"/>
  <c r="E890" i="1"/>
  <c r="F890" i="1"/>
  <c r="H890" i="1"/>
  <c r="I890" i="1"/>
  <c r="J890" i="1"/>
  <c r="L890" i="1"/>
  <c r="M890" i="1"/>
  <c r="V890" i="1"/>
  <c r="AE890" i="1"/>
  <c r="C891" i="1"/>
  <c r="E891" i="1"/>
  <c r="F891" i="1"/>
  <c r="H891" i="1"/>
  <c r="I891" i="1"/>
  <c r="J891" i="1"/>
  <c r="L891" i="1"/>
  <c r="M891" i="1"/>
  <c r="V891" i="1"/>
  <c r="AE891" i="1"/>
  <c r="C892" i="1"/>
  <c r="E892" i="1"/>
  <c r="F892" i="1"/>
  <c r="H892" i="1"/>
  <c r="I892" i="1"/>
  <c r="J892" i="1"/>
  <c r="L892" i="1"/>
  <c r="M892" i="1"/>
  <c r="V892" i="1"/>
  <c r="AE892" i="1"/>
  <c r="C893" i="1"/>
  <c r="E893" i="1"/>
  <c r="F893" i="1"/>
  <c r="H893" i="1"/>
  <c r="I893" i="1"/>
  <c r="J893" i="1"/>
  <c r="L893" i="1"/>
  <c r="M893" i="1"/>
  <c r="V893" i="1"/>
  <c r="AE893" i="1"/>
  <c r="C894" i="1"/>
  <c r="E894" i="1"/>
  <c r="F894" i="1"/>
  <c r="H894" i="1"/>
  <c r="I894" i="1"/>
  <c r="J894" i="1"/>
  <c r="L894" i="1"/>
  <c r="M894" i="1"/>
  <c r="V894" i="1"/>
  <c r="AE894" i="1"/>
  <c r="C895" i="1"/>
  <c r="E895" i="1"/>
  <c r="F895" i="1"/>
  <c r="H895" i="1"/>
  <c r="I895" i="1"/>
  <c r="J895" i="1"/>
  <c r="L895" i="1"/>
  <c r="M895" i="1"/>
  <c r="V895" i="1"/>
  <c r="AE895" i="1"/>
  <c r="C896" i="1"/>
  <c r="E896" i="1"/>
  <c r="F896" i="1"/>
  <c r="H896" i="1"/>
  <c r="I896" i="1"/>
  <c r="J896" i="1"/>
  <c r="L896" i="1"/>
  <c r="M896" i="1"/>
  <c r="V896" i="1"/>
  <c r="AE896" i="1"/>
  <c r="C897" i="1"/>
  <c r="E897" i="1"/>
  <c r="F897" i="1"/>
  <c r="H897" i="1"/>
  <c r="I897" i="1"/>
  <c r="J897" i="1"/>
  <c r="L897" i="1"/>
  <c r="M897" i="1"/>
  <c r="V897" i="1"/>
  <c r="AE897" i="1"/>
  <c r="C898" i="1"/>
  <c r="E898" i="1"/>
  <c r="F898" i="1"/>
  <c r="H898" i="1"/>
  <c r="I898" i="1"/>
  <c r="J898" i="1"/>
  <c r="L898" i="1"/>
  <c r="M898" i="1"/>
  <c r="V898" i="1"/>
  <c r="AE898" i="1"/>
  <c r="C899" i="1"/>
  <c r="E899" i="1"/>
  <c r="F899" i="1"/>
  <c r="H899" i="1"/>
  <c r="I899" i="1"/>
  <c r="J899" i="1"/>
  <c r="L899" i="1"/>
  <c r="M899" i="1"/>
  <c r="V899" i="1"/>
  <c r="AE899" i="1"/>
  <c r="C900" i="1"/>
  <c r="E900" i="1"/>
  <c r="F900" i="1"/>
  <c r="H900" i="1"/>
  <c r="I900" i="1"/>
  <c r="J900" i="1"/>
  <c r="L900" i="1"/>
  <c r="M900" i="1"/>
  <c r="V900" i="1"/>
  <c r="AE900" i="1"/>
  <c r="C901" i="1"/>
  <c r="E901" i="1"/>
  <c r="F901" i="1"/>
  <c r="H901" i="1"/>
  <c r="I901" i="1"/>
  <c r="J901" i="1"/>
  <c r="L901" i="1"/>
  <c r="M901" i="1"/>
  <c r="V901" i="1"/>
  <c r="AE901" i="1"/>
  <c r="C902" i="1"/>
  <c r="E902" i="1"/>
  <c r="F902" i="1"/>
  <c r="H902" i="1"/>
  <c r="I902" i="1"/>
  <c r="J902" i="1"/>
  <c r="L902" i="1"/>
  <c r="M902" i="1"/>
  <c r="V902" i="1"/>
  <c r="AE902" i="1"/>
  <c r="C903" i="1"/>
  <c r="E903" i="1"/>
  <c r="F903" i="1"/>
  <c r="H903" i="1"/>
  <c r="I903" i="1"/>
  <c r="J903" i="1"/>
  <c r="L903" i="1"/>
  <c r="M903" i="1"/>
  <c r="V903" i="1"/>
  <c r="AE903" i="1"/>
  <c r="C904" i="1"/>
  <c r="E904" i="1"/>
  <c r="F904" i="1"/>
  <c r="H904" i="1"/>
  <c r="I904" i="1"/>
  <c r="J904" i="1"/>
  <c r="L904" i="1"/>
  <c r="M904" i="1"/>
  <c r="V904" i="1"/>
  <c r="AE904" i="1"/>
  <c r="C905" i="1"/>
  <c r="E905" i="1"/>
  <c r="F905" i="1"/>
  <c r="H905" i="1"/>
  <c r="I905" i="1"/>
  <c r="J905" i="1"/>
  <c r="L905" i="1"/>
  <c r="M905" i="1"/>
  <c r="V905" i="1"/>
  <c r="AE905" i="1"/>
  <c r="C906" i="1"/>
  <c r="E906" i="1"/>
  <c r="F906" i="1"/>
  <c r="H906" i="1"/>
  <c r="I906" i="1"/>
  <c r="J906" i="1"/>
  <c r="L906" i="1"/>
  <c r="M906" i="1"/>
  <c r="V906" i="1"/>
  <c r="AE906" i="1"/>
  <c r="C907" i="1"/>
  <c r="E907" i="1"/>
  <c r="F907" i="1"/>
  <c r="H907" i="1"/>
  <c r="I907" i="1"/>
  <c r="J907" i="1"/>
  <c r="L907" i="1"/>
  <c r="M907" i="1"/>
  <c r="V907" i="1"/>
  <c r="AE907" i="1"/>
  <c r="C908" i="1"/>
  <c r="E908" i="1"/>
  <c r="F908" i="1"/>
  <c r="H908" i="1"/>
  <c r="I908" i="1"/>
  <c r="J908" i="1"/>
  <c r="L908" i="1"/>
  <c r="M908" i="1"/>
  <c r="V908" i="1"/>
  <c r="AE908" i="1"/>
  <c r="C909" i="1"/>
  <c r="E909" i="1"/>
  <c r="F909" i="1"/>
  <c r="H909" i="1"/>
  <c r="I909" i="1"/>
  <c r="J909" i="1"/>
  <c r="L909" i="1"/>
  <c r="M909" i="1"/>
  <c r="V909" i="1"/>
  <c r="AE909" i="1"/>
  <c r="C910" i="1"/>
  <c r="E910" i="1"/>
  <c r="F910" i="1"/>
  <c r="H910" i="1"/>
  <c r="I910" i="1"/>
  <c r="J910" i="1"/>
  <c r="L910" i="1"/>
  <c r="M910" i="1"/>
  <c r="V910" i="1"/>
  <c r="AE910" i="1"/>
  <c r="C911" i="1"/>
  <c r="E911" i="1"/>
  <c r="F911" i="1"/>
  <c r="H911" i="1"/>
  <c r="I911" i="1"/>
  <c r="J911" i="1"/>
  <c r="L911" i="1"/>
  <c r="M911" i="1"/>
  <c r="V911" i="1"/>
  <c r="AE911" i="1"/>
  <c r="C912" i="1"/>
  <c r="E912" i="1"/>
  <c r="F912" i="1"/>
  <c r="H912" i="1"/>
  <c r="I912" i="1"/>
  <c r="J912" i="1"/>
  <c r="L912" i="1"/>
  <c r="M912" i="1"/>
  <c r="V912" i="1"/>
  <c r="AE912" i="1"/>
  <c r="C913" i="1"/>
  <c r="E913" i="1"/>
  <c r="F913" i="1"/>
  <c r="H913" i="1"/>
  <c r="I913" i="1"/>
  <c r="J913" i="1"/>
  <c r="L913" i="1"/>
  <c r="M913" i="1"/>
  <c r="V913" i="1"/>
  <c r="AE913" i="1"/>
  <c r="C914" i="1"/>
  <c r="E914" i="1"/>
  <c r="F914" i="1"/>
  <c r="H914" i="1"/>
  <c r="I914" i="1"/>
  <c r="J914" i="1"/>
  <c r="L914" i="1"/>
  <c r="M914" i="1"/>
  <c r="V914" i="1"/>
  <c r="AE914" i="1"/>
  <c r="C915" i="1"/>
  <c r="E915" i="1"/>
  <c r="F915" i="1"/>
  <c r="H915" i="1"/>
  <c r="I915" i="1"/>
  <c r="J915" i="1"/>
  <c r="L915" i="1"/>
  <c r="M915" i="1"/>
  <c r="V915" i="1"/>
  <c r="AE915" i="1"/>
  <c r="C916" i="1"/>
  <c r="E916" i="1"/>
  <c r="F916" i="1"/>
  <c r="H916" i="1"/>
  <c r="I916" i="1"/>
  <c r="J916" i="1"/>
  <c r="L916" i="1"/>
  <c r="M916" i="1"/>
  <c r="V916" i="1"/>
  <c r="AE916" i="1"/>
  <c r="C917" i="1"/>
  <c r="E917" i="1"/>
  <c r="F917" i="1"/>
  <c r="H917" i="1"/>
  <c r="I917" i="1"/>
  <c r="J917" i="1"/>
  <c r="L917" i="1"/>
  <c r="M917" i="1"/>
  <c r="V917" i="1"/>
  <c r="AE917" i="1"/>
  <c r="C918" i="1"/>
  <c r="E918" i="1"/>
  <c r="F918" i="1"/>
  <c r="H918" i="1"/>
  <c r="I918" i="1"/>
  <c r="J918" i="1"/>
  <c r="L918" i="1"/>
  <c r="M918" i="1"/>
  <c r="V918" i="1"/>
  <c r="AE918" i="1"/>
  <c r="C919" i="1"/>
  <c r="E919" i="1"/>
  <c r="F919" i="1"/>
  <c r="H919" i="1"/>
  <c r="I919" i="1"/>
  <c r="J919" i="1"/>
  <c r="L919" i="1"/>
  <c r="M919" i="1"/>
  <c r="V919" i="1"/>
  <c r="AE919" i="1"/>
  <c r="C920" i="1"/>
  <c r="E920" i="1"/>
  <c r="F920" i="1"/>
  <c r="H920" i="1"/>
  <c r="I920" i="1"/>
  <c r="J920" i="1"/>
  <c r="L920" i="1"/>
  <c r="M920" i="1"/>
  <c r="V920" i="1"/>
  <c r="AE920" i="1"/>
  <c r="C921" i="1"/>
  <c r="E921" i="1"/>
  <c r="F921" i="1"/>
  <c r="H921" i="1"/>
  <c r="I921" i="1"/>
  <c r="J921" i="1"/>
  <c r="L921" i="1"/>
  <c r="M921" i="1"/>
  <c r="V921" i="1"/>
  <c r="AE921" i="1"/>
  <c r="C922" i="1"/>
  <c r="E922" i="1"/>
  <c r="F922" i="1"/>
  <c r="H922" i="1"/>
  <c r="I922" i="1"/>
  <c r="J922" i="1"/>
  <c r="L922" i="1"/>
  <c r="M922" i="1"/>
  <c r="V922" i="1"/>
  <c r="AE922" i="1"/>
  <c r="C923" i="1"/>
  <c r="E923" i="1"/>
  <c r="F923" i="1"/>
  <c r="H923" i="1"/>
  <c r="I923" i="1"/>
  <c r="J923" i="1"/>
  <c r="L923" i="1"/>
  <c r="M923" i="1"/>
  <c r="V923" i="1"/>
  <c r="AE923" i="1"/>
  <c r="C924" i="1"/>
  <c r="E924" i="1"/>
  <c r="F924" i="1"/>
  <c r="H924" i="1"/>
  <c r="I924" i="1"/>
  <c r="J924" i="1"/>
  <c r="L924" i="1"/>
  <c r="M924" i="1"/>
  <c r="V924" i="1"/>
  <c r="AE924" i="1"/>
  <c r="C925" i="1"/>
  <c r="E925" i="1"/>
  <c r="F925" i="1"/>
  <c r="H925" i="1"/>
  <c r="I925" i="1"/>
  <c r="J925" i="1"/>
  <c r="L925" i="1"/>
  <c r="M925" i="1"/>
  <c r="V925" i="1"/>
  <c r="AE925" i="1"/>
  <c r="C926" i="1"/>
  <c r="E926" i="1"/>
  <c r="F926" i="1"/>
  <c r="H926" i="1"/>
  <c r="I926" i="1"/>
  <c r="J926" i="1"/>
  <c r="L926" i="1"/>
  <c r="M926" i="1"/>
  <c r="V926" i="1"/>
  <c r="AE926" i="1"/>
  <c r="C927" i="1"/>
  <c r="E927" i="1"/>
  <c r="F927" i="1"/>
  <c r="H927" i="1"/>
  <c r="I927" i="1"/>
  <c r="J927" i="1"/>
  <c r="L927" i="1"/>
  <c r="M927" i="1"/>
  <c r="V927" i="1"/>
  <c r="AE927" i="1"/>
  <c r="C928" i="1"/>
  <c r="E928" i="1"/>
  <c r="F928" i="1"/>
  <c r="H928" i="1"/>
  <c r="I928" i="1"/>
  <c r="J928" i="1"/>
  <c r="L928" i="1"/>
  <c r="M928" i="1"/>
  <c r="V928" i="1"/>
  <c r="AE928" i="1"/>
  <c r="C929" i="1"/>
  <c r="E929" i="1"/>
  <c r="F929" i="1"/>
  <c r="H929" i="1"/>
  <c r="I929" i="1"/>
  <c r="J929" i="1"/>
  <c r="L929" i="1"/>
  <c r="M929" i="1"/>
  <c r="V929" i="1"/>
  <c r="AE929" i="1"/>
  <c r="C930" i="1"/>
  <c r="E930" i="1"/>
  <c r="F930" i="1"/>
  <c r="H930" i="1"/>
  <c r="I930" i="1"/>
  <c r="J930" i="1"/>
  <c r="L930" i="1"/>
  <c r="M930" i="1"/>
  <c r="V930" i="1"/>
  <c r="AE930" i="1"/>
  <c r="C931" i="1"/>
  <c r="E931" i="1"/>
  <c r="F931" i="1"/>
  <c r="H931" i="1"/>
  <c r="I931" i="1"/>
  <c r="J931" i="1"/>
  <c r="L931" i="1"/>
  <c r="M931" i="1"/>
  <c r="V931" i="1"/>
  <c r="AE931" i="1"/>
  <c r="C932" i="1"/>
  <c r="E932" i="1"/>
  <c r="F932" i="1"/>
  <c r="H932" i="1"/>
  <c r="I932" i="1"/>
  <c r="J932" i="1"/>
  <c r="L932" i="1"/>
  <c r="M932" i="1"/>
  <c r="V932" i="1"/>
  <c r="AE932" i="1"/>
  <c r="C933" i="1"/>
  <c r="E933" i="1"/>
  <c r="F933" i="1"/>
  <c r="H933" i="1"/>
  <c r="I933" i="1"/>
  <c r="J933" i="1"/>
  <c r="L933" i="1"/>
  <c r="M933" i="1"/>
  <c r="V933" i="1"/>
  <c r="AE933" i="1"/>
  <c r="C934" i="1"/>
  <c r="E934" i="1"/>
  <c r="F934" i="1"/>
  <c r="H934" i="1"/>
  <c r="I934" i="1"/>
  <c r="J934" i="1"/>
  <c r="L934" i="1"/>
  <c r="M934" i="1"/>
  <c r="V934" i="1"/>
  <c r="AE934" i="1"/>
  <c r="C935" i="1"/>
  <c r="E935" i="1"/>
  <c r="F935" i="1"/>
  <c r="H935" i="1"/>
  <c r="I935" i="1"/>
  <c r="J935" i="1"/>
  <c r="L935" i="1"/>
  <c r="M935" i="1"/>
  <c r="V935" i="1"/>
  <c r="AE935" i="1"/>
  <c r="C936" i="1"/>
  <c r="E936" i="1"/>
  <c r="F936" i="1"/>
  <c r="H936" i="1"/>
  <c r="I936" i="1"/>
  <c r="J936" i="1"/>
  <c r="L936" i="1"/>
  <c r="M936" i="1"/>
  <c r="V936" i="1"/>
  <c r="AE936" i="1"/>
  <c r="C937" i="1"/>
  <c r="E937" i="1"/>
  <c r="F937" i="1"/>
  <c r="H937" i="1"/>
  <c r="I937" i="1"/>
  <c r="J937" i="1"/>
  <c r="L937" i="1"/>
  <c r="M937" i="1"/>
  <c r="V937" i="1"/>
  <c r="AE937" i="1"/>
  <c r="C938" i="1"/>
  <c r="E938" i="1"/>
  <c r="F938" i="1"/>
  <c r="H938" i="1"/>
  <c r="I938" i="1"/>
  <c r="J938" i="1"/>
  <c r="L938" i="1"/>
  <c r="M938" i="1"/>
  <c r="V938" i="1"/>
  <c r="AE938" i="1"/>
  <c r="C939" i="1"/>
  <c r="E939" i="1"/>
  <c r="F939" i="1"/>
  <c r="H939" i="1"/>
  <c r="I939" i="1"/>
  <c r="J939" i="1"/>
  <c r="L939" i="1"/>
  <c r="M939" i="1"/>
  <c r="V939" i="1"/>
  <c r="AE939" i="1"/>
  <c r="C940" i="1"/>
  <c r="E940" i="1"/>
  <c r="F940" i="1"/>
  <c r="H940" i="1"/>
  <c r="I940" i="1"/>
  <c r="J940" i="1"/>
  <c r="L940" i="1"/>
  <c r="M940" i="1"/>
  <c r="V940" i="1"/>
  <c r="AE940" i="1"/>
  <c r="C941" i="1"/>
  <c r="E941" i="1"/>
  <c r="F941" i="1"/>
  <c r="H941" i="1"/>
  <c r="I941" i="1"/>
  <c r="J941" i="1"/>
  <c r="L941" i="1"/>
  <c r="M941" i="1"/>
  <c r="V941" i="1"/>
  <c r="AE941" i="1"/>
  <c r="C942" i="1"/>
  <c r="E942" i="1"/>
  <c r="F942" i="1"/>
  <c r="H942" i="1"/>
  <c r="I942" i="1"/>
  <c r="J942" i="1"/>
  <c r="L942" i="1"/>
  <c r="M942" i="1"/>
  <c r="V942" i="1"/>
  <c r="AE942" i="1"/>
  <c r="C943" i="1"/>
  <c r="E943" i="1"/>
  <c r="F943" i="1"/>
  <c r="H943" i="1"/>
  <c r="I943" i="1"/>
  <c r="J943" i="1"/>
  <c r="L943" i="1"/>
  <c r="M943" i="1"/>
  <c r="V943" i="1"/>
  <c r="AE943" i="1"/>
  <c r="C944" i="1"/>
  <c r="E944" i="1"/>
  <c r="F944" i="1"/>
  <c r="H944" i="1"/>
  <c r="I944" i="1"/>
  <c r="J944" i="1"/>
  <c r="L944" i="1"/>
  <c r="M944" i="1"/>
  <c r="V944" i="1"/>
  <c r="AE944" i="1"/>
  <c r="C945" i="1"/>
  <c r="E945" i="1"/>
  <c r="F945" i="1"/>
  <c r="H945" i="1"/>
  <c r="I945" i="1"/>
  <c r="J945" i="1"/>
  <c r="L945" i="1"/>
  <c r="M945" i="1"/>
  <c r="AE945" i="1"/>
  <c r="C946" i="1"/>
  <c r="E946" i="1"/>
  <c r="F946" i="1"/>
  <c r="H946" i="1"/>
  <c r="I946" i="1"/>
  <c r="J946" i="1"/>
  <c r="L946" i="1"/>
  <c r="M946" i="1"/>
  <c r="AE946" i="1"/>
  <c r="C947" i="1"/>
  <c r="E947" i="1"/>
  <c r="F947" i="1"/>
  <c r="H947" i="1"/>
  <c r="I947" i="1"/>
  <c r="J947" i="1"/>
  <c r="L947" i="1"/>
  <c r="M947" i="1"/>
  <c r="V947" i="1"/>
  <c r="AE947" i="1"/>
  <c r="C948" i="1"/>
  <c r="E948" i="1"/>
  <c r="F948" i="1"/>
  <c r="H948" i="1"/>
  <c r="I948" i="1"/>
  <c r="J948" i="1"/>
  <c r="L948" i="1"/>
  <c r="M948" i="1"/>
  <c r="V948" i="1"/>
  <c r="AE948" i="1"/>
  <c r="C949" i="1"/>
  <c r="E949" i="1"/>
  <c r="F949" i="1"/>
  <c r="H949" i="1"/>
  <c r="I949" i="1"/>
  <c r="J949" i="1"/>
  <c r="L949" i="1"/>
  <c r="M949" i="1"/>
  <c r="V949" i="1"/>
  <c r="AE949" i="1"/>
  <c r="C950" i="1"/>
  <c r="E950" i="1"/>
  <c r="F950" i="1"/>
  <c r="H950" i="1"/>
  <c r="I950" i="1"/>
  <c r="J950" i="1"/>
  <c r="L950" i="1"/>
  <c r="M950" i="1"/>
  <c r="V950" i="1"/>
  <c r="AE950" i="1"/>
  <c r="C951" i="1"/>
  <c r="E951" i="1"/>
  <c r="F951" i="1"/>
  <c r="H951" i="1"/>
  <c r="I951" i="1"/>
  <c r="J951" i="1"/>
  <c r="L951" i="1"/>
  <c r="M951" i="1"/>
  <c r="V951" i="1"/>
  <c r="AE951" i="1"/>
  <c r="C952" i="1"/>
  <c r="E952" i="1"/>
  <c r="F952" i="1"/>
  <c r="H952" i="1"/>
  <c r="I952" i="1"/>
  <c r="J952" i="1"/>
  <c r="L952" i="1"/>
  <c r="M952" i="1"/>
  <c r="V952" i="1"/>
  <c r="AE952" i="1"/>
  <c r="C953" i="1"/>
  <c r="E953" i="1"/>
  <c r="F953" i="1"/>
  <c r="H953" i="1"/>
  <c r="I953" i="1"/>
  <c r="J953" i="1"/>
  <c r="L953" i="1"/>
  <c r="M953" i="1"/>
  <c r="V953" i="1"/>
  <c r="AE953" i="1"/>
  <c r="C954" i="1"/>
  <c r="E954" i="1"/>
  <c r="F954" i="1"/>
  <c r="H954" i="1"/>
  <c r="I954" i="1"/>
  <c r="J954" i="1"/>
  <c r="L954" i="1"/>
  <c r="M954" i="1"/>
  <c r="V954" i="1"/>
  <c r="AE954" i="1"/>
  <c r="C955" i="1"/>
  <c r="E955" i="1"/>
  <c r="F955" i="1"/>
  <c r="H955" i="1"/>
  <c r="I955" i="1"/>
  <c r="J955" i="1"/>
  <c r="L955" i="1"/>
  <c r="M955" i="1"/>
  <c r="V955" i="1"/>
  <c r="AE955" i="1"/>
  <c r="C956" i="1"/>
  <c r="E956" i="1"/>
  <c r="F956" i="1"/>
  <c r="H956" i="1"/>
  <c r="I956" i="1"/>
  <c r="J956" i="1"/>
  <c r="L956" i="1"/>
  <c r="M956" i="1"/>
  <c r="V956" i="1"/>
  <c r="AE956" i="1"/>
  <c r="C957" i="1"/>
  <c r="E957" i="1"/>
  <c r="F957" i="1"/>
  <c r="H957" i="1"/>
  <c r="I957" i="1"/>
  <c r="J957" i="1"/>
  <c r="L957" i="1"/>
  <c r="M957" i="1"/>
  <c r="V957" i="1"/>
  <c r="AE957" i="1"/>
  <c r="C958" i="1"/>
  <c r="E958" i="1"/>
  <c r="F958" i="1"/>
  <c r="H958" i="1"/>
  <c r="I958" i="1"/>
  <c r="J958" i="1"/>
  <c r="L958" i="1"/>
  <c r="M958" i="1"/>
  <c r="V958" i="1"/>
  <c r="AE958" i="1"/>
  <c r="C959" i="1"/>
  <c r="E959" i="1"/>
  <c r="F959" i="1"/>
  <c r="H959" i="1"/>
  <c r="I959" i="1"/>
  <c r="J959" i="1"/>
  <c r="L959" i="1"/>
  <c r="M959" i="1"/>
  <c r="V959" i="1"/>
  <c r="AE959" i="1"/>
  <c r="C960" i="1"/>
  <c r="E960" i="1"/>
  <c r="F960" i="1"/>
  <c r="H960" i="1"/>
  <c r="I960" i="1"/>
  <c r="J960" i="1"/>
  <c r="L960" i="1"/>
  <c r="M960" i="1"/>
  <c r="V960" i="1"/>
  <c r="AE960" i="1"/>
  <c r="C961" i="1"/>
  <c r="E961" i="1"/>
  <c r="F961" i="1"/>
  <c r="H961" i="1"/>
  <c r="I961" i="1"/>
  <c r="J961" i="1"/>
  <c r="L961" i="1"/>
  <c r="M961" i="1"/>
  <c r="V961" i="1"/>
  <c r="AE961" i="1"/>
  <c r="C962" i="1"/>
  <c r="E962" i="1"/>
  <c r="F962" i="1"/>
  <c r="H962" i="1"/>
  <c r="I962" i="1"/>
  <c r="J962" i="1"/>
  <c r="L962" i="1"/>
  <c r="M962" i="1"/>
  <c r="V962" i="1"/>
  <c r="AE962" i="1"/>
  <c r="C963" i="1"/>
  <c r="E963" i="1"/>
  <c r="F963" i="1"/>
  <c r="H963" i="1"/>
  <c r="I963" i="1"/>
  <c r="J963" i="1"/>
  <c r="L963" i="1"/>
  <c r="M963" i="1"/>
  <c r="V963" i="1"/>
  <c r="AE963" i="1"/>
  <c r="C964" i="1"/>
  <c r="E964" i="1"/>
  <c r="F964" i="1"/>
  <c r="H964" i="1"/>
  <c r="I964" i="1"/>
  <c r="J964" i="1"/>
  <c r="L964" i="1"/>
  <c r="M964" i="1"/>
  <c r="V964" i="1"/>
  <c r="AE964" i="1"/>
  <c r="C965" i="1"/>
  <c r="E965" i="1"/>
  <c r="F965" i="1"/>
  <c r="H965" i="1"/>
  <c r="I965" i="1"/>
  <c r="J965" i="1"/>
  <c r="L965" i="1"/>
  <c r="M965" i="1"/>
  <c r="V965" i="1"/>
  <c r="AE965" i="1"/>
  <c r="C966" i="1"/>
  <c r="E966" i="1"/>
  <c r="F966" i="1"/>
  <c r="H966" i="1"/>
  <c r="I966" i="1"/>
  <c r="J966" i="1"/>
  <c r="L966" i="1"/>
  <c r="M966" i="1"/>
  <c r="V966" i="1"/>
  <c r="AE966" i="1"/>
  <c r="C967" i="1"/>
  <c r="E967" i="1"/>
  <c r="F967" i="1"/>
  <c r="H967" i="1"/>
  <c r="I967" i="1"/>
  <c r="J967" i="1"/>
  <c r="L967" i="1"/>
  <c r="M967" i="1"/>
  <c r="V967" i="1"/>
  <c r="AE967" i="1"/>
  <c r="C968" i="1"/>
  <c r="E968" i="1"/>
  <c r="F968" i="1"/>
  <c r="H968" i="1"/>
  <c r="I968" i="1"/>
  <c r="J968" i="1"/>
  <c r="L968" i="1"/>
  <c r="M968" i="1"/>
  <c r="V968" i="1"/>
  <c r="AE968" i="1"/>
  <c r="C969" i="1"/>
  <c r="E969" i="1"/>
  <c r="F969" i="1"/>
  <c r="H969" i="1"/>
  <c r="I969" i="1"/>
  <c r="J969" i="1"/>
  <c r="L969" i="1"/>
  <c r="M969" i="1"/>
  <c r="V969" i="1"/>
  <c r="AE969" i="1"/>
  <c r="C970" i="1"/>
  <c r="E970" i="1"/>
  <c r="F970" i="1"/>
  <c r="H970" i="1"/>
  <c r="I970" i="1"/>
  <c r="J970" i="1"/>
  <c r="L970" i="1"/>
  <c r="M970" i="1"/>
  <c r="V970" i="1"/>
  <c r="AE970" i="1"/>
  <c r="C971" i="1"/>
  <c r="E971" i="1"/>
  <c r="F971" i="1"/>
  <c r="H971" i="1"/>
  <c r="I971" i="1"/>
  <c r="J971" i="1"/>
  <c r="L971" i="1"/>
  <c r="M971" i="1"/>
  <c r="V971" i="1"/>
  <c r="AE971" i="1"/>
  <c r="C972" i="1"/>
  <c r="E972" i="1"/>
  <c r="F972" i="1"/>
  <c r="H972" i="1"/>
  <c r="I972" i="1"/>
  <c r="J972" i="1"/>
  <c r="L972" i="1"/>
  <c r="M972" i="1"/>
  <c r="V972" i="1"/>
  <c r="AE972" i="1"/>
  <c r="C973" i="1"/>
  <c r="E973" i="1"/>
  <c r="F973" i="1"/>
  <c r="H973" i="1"/>
  <c r="I973" i="1"/>
  <c r="J973" i="1"/>
  <c r="L973" i="1"/>
  <c r="M973" i="1"/>
  <c r="V973" i="1"/>
  <c r="AE973" i="1"/>
  <c r="C974" i="1"/>
  <c r="E974" i="1"/>
  <c r="F974" i="1"/>
  <c r="H974" i="1"/>
  <c r="I974" i="1"/>
  <c r="J974" i="1"/>
  <c r="L974" i="1"/>
  <c r="M974" i="1"/>
  <c r="V974" i="1"/>
  <c r="AE974" i="1"/>
  <c r="C975" i="1"/>
  <c r="E975" i="1"/>
  <c r="F975" i="1"/>
  <c r="H975" i="1"/>
  <c r="I975" i="1"/>
  <c r="J975" i="1"/>
  <c r="L975" i="1"/>
  <c r="M975" i="1"/>
  <c r="V975" i="1"/>
  <c r="AE975" i="1"/>
  <c r="C976" i="1"/>
  <c r="E976" i="1"/>
  <c r="F976" i="1"/>
  <c r="H976" i="1"/>
  <c r="I976" i="1"/>
  <c r="J976" i="1"/>
  <c r="L976" i="1"/>
  <c r="M976" i="1"/>
  <c r="V976" i="1"/>
  <c r="AE976" i="1"/>
  <c r="C977" i="1"/>
  <c r="E977" i="1"/>
  <c r="F977" i="1"/>
  <c r="H977" i="1"/>
  <c r="I977" i="1"/>
  <c r="J977" i="1"/>
  <c r="L977" i="1"/>
  <c r="M977" i="1"/>
  <c r="V977" i="1"/>
  <c r="AE977" i="1"/>
  <c r="C978" i="1"/>
  <c r="E978" i="1"/>
  <c r="F978" i="1"/>
  <c r="H978" i="1"/>
  <c r="I978" i="1"/>
  <c r="J978" i="1"/>
  <c r="L978" i="1"/>
  <c r="M978" i="1"/>
  <c r="V978" i="1"/>
  <c r="AE978" i="1"/>
  <c r="C979" i="1"/>
  <c r="E979" i="1"/>
  <c r="F979" i="1"/>
  <c r="H979" i="1"/>
  <c r="I979" i="1"/>
  <c r="J979" i="1"/>
  <c r="L979" i="1"/>
  <c r="M979" i="1"/>
  <c r="V979" i="1"/>
  <c r="AE979" i="1"/>
  <c r="C980" i="1"/>
  <c r="E980" i="1"/>
  <c r="F980" i="1"/>
  <c r="H980" i="1"/>
  <c r="I980" i="1"/>
  <c r="J980" i="1"/>
  <c r="L980" i="1"/>
  <c r="M980" i="1"/>
  <c r="V980" i="1"/>
  <c r="AE980" i="1"/>
  <c r="C981" i="1"/>
  <c r="E981" i="1"/>
  <c r="F981" i="1"/>
  <c r="H981" i="1"/>
  <c r="I981" i="1"/>
  <c r="J981" i="1"/>
  <c r="L981" i="1"/>
  <c r="M981" i="1"/>
  <c r="V981" i="1"/>
  <c r="AE981" i="1"/>
  <c r="C982" i="1"/>
  <c r="E982" i="1"/>
  <c r="F982" i="1"/>
  <c r="H982" i="1"/>
  <c r="I982" i="1"/>
  <c r="J982" i="1"/>
  <c r="L982" i="1"/>
  <c r="M982" i="1"/>
  <c r="V982" i="1"/>
  <c r="AE982" i="1"/>
  <c r="C983" i="1"/>
  <c r="E983" i="1"/>
  <c r="F983" i="1"/>
  <c r="H983" i="1"/>
  <c r="I983" i="1"/>
  <c r="J983" i="1"/>
  <c r="L983" i="1"/>
  <c r="M983" i="1"/>
  <c r="V983" i="1"/>
  <c r="AE983" i="1"/>
  <c r="C984" i="1"/>
  <c r="E984" i="1"/>
  <c r="F984" i="1"/>
  <c r="H984" i="1"/>
  <c r="I984" i="1"/>
  <c r="J984" i="1"/>
  <c r="L984" i="1"/>
  <c r="M984" i="1"/>
  <c r="V984" i="1"/>
  <c r="AE984" i="1"/>
  <c r="C985" i="1"/>
  <c r="E985" i="1"/>
  <c r="F985" i="1"/>
  <c r="H985" i="1"/>
  <c r="I985" i="1"/>
  <c r="J985" i="1"/>
  <c r="L985" i="1"/>
  <c r="M985" i="1"/>
  <c r="V985" i="1"/>
  <c r="AE985" i="1"/>
  <c r="C986" i="1"/>
  <c r="E986" i="1"/>
  <c r="F986" i="1"/>
  <c r="H986" i="1"/>
  <c r="I986" i="1"/>
  <c r="J986" i="1"/>
  <c r="L986" i="1"/>
  <c r="M986" i="1"/>
  <c r="V986" i="1"/>
  <c r="AE986" i="1"/>
  <c r="C987" i="1"/>
  <c r="E987" i="1"/>
  <c r="F987" i="1"/>
  <c r="H987" i="1"/>
  <c r="I987" i="1"/>
  <c r="J987" i="1"/>
  <c r="L987" i="1"/>
  <c r="M987" i="1"/>
  <c r="V987" i="1"/>
  <c r="AE987" i="1"/>
  <c r="C988" i="1"/>
  <c r="E988" i="1"/>
  <c r="F988" i="1"/>
  <c r="H988" i="1"/>
  <c r="I988" i="1"/>
  <c r="J988" i="1"/>
  <c r="L988" i="1"/>
  <c r="M988" i="1"/>
  <c r="V988" i="1"/>
  <c r="AE988" i="1"/>
  <c r="C989" i="1"/>
  <c r="E989" i="1"/>
  <c r="F989" i="1"/>
  <c r="H989" i="1"/>
  <c r="I989" i="1"/>
  <c r="J989" i="1"/>
  <c r="L989" i="1"/>
  <c r="M989" i="1"/>
  <c r="AE989" i="1"/>
  <c r="C990" i="1"/>
  <c r="E990" i="1"/>
  <c r="F990" i="1"/>
  <c r="H990" i="1"/>
  <c r="I990" i="1"/>
  <c r="J990" i="1"/>
  <c r="L990" i="1"/>
  <c r="M990" i="1"/>
  <c r="V990" i="1"/>
  <c r="AE990" i="1"/>
  <c r="C991" i="1"/>
  <c r="E991" i="1"/>
  <c r="F991" i="1"/>
  <c r="H991" i="1"/>
  <c r="I991" i="1"/>
  <c r="J991" i="1"/>
  <c r="L991" i="1"/>
  <c r="M991" i="1"/>
  <c r="V991" i="1"/>
  <c r="AE991" i="1"/>
  <c r="C992" i="1"/>
  <c r="E992" i="1"/>
  <c r="F992" i="1"/>
  <c r="H992" i="1"/>
  <c r="I992" i="1"/>
  <c r="J992" i="1"/>
  <c r="L992" i="1"/>
  <c r="M992" i="1"/>
  <c r="V992" i="1"/>
  <c r="AE992" i="1"/>
  <c r="C993" i="1"/>
  <c r="E993" i="1"/>
  <c r="F993" i="1"/>
  <c r="H993" i="1"/>
  <c r="I993" i="1"/>
  <c r="J993" i="1"/>
  <c r="L993" i="1"/>
  <c r="M993" i="1"/>
  <c r="V993" i="1"/>
  <c r="AE993" i="1"/>
  <c r="C994" i="1"/>
  <c r="E994" i="1"/>
  <c r="F994" i="1"/>
  <c r="H994" i="1"/>
  <c r="I994" i="1"/>
  <c r="J994" i="1"/>
  <c r="L994" i="1"/>
  <c r="M994" i="1"/>
  <c r="V994" i="1"/>
  <c r="AE994" i="1"/>
  <c r="C995" i="1"/>
  <c r="E995" i="1"/>
  <c r="F995" i="1"/>
  <c r="H995" i="1"/>
  <c r="I995" i="1"/>
  <c r="J995" i="1"/>
  <c r="L995" i="1"/>
  <c r="M995" i="1"/>
  <c r="V995" i="1"/>
  <c r="AE995" i="1"/>
  <c r="C996" i="1"/>
  <c r="E996" i="1"/>
  <c r="F996" i="1"/>
  <c r="H996" i="1"/>
  <c r="I996" i="1"/>
  <c r="J996" i="1"/>
  <c r="L996" i="1"/>
  <c r="M996" i="1"/>
  <c r="V996" i="1"/>
  <c r="AE996" i="1"/>
  <c r="C997" i="1"/>
  <c r="E997" i="1"/>
  <c r="F997" i="1"/>
  <c r="H997" i="1"/>
  <c r="I997" i="1"/>
  <c r="J997" i="1"/>
  <c r="L997" i="1"/>
  <c r="M997" i="1"/>
  <c r="V997" i="1"/>
  <c r="AE997" i="1"/>
  <c r="C998" i="1"/>
  <c r="E998" i="1"/>
  <c r="F998" i="1"/>
  <c r="H998" i="1"/>
  <c r="I998" i="1"/>
  <c r="J998" i="1"/>
  <c r="L998" i="1"/>
  <c r="M998" i="1"/>
  <c r="V998" i="1"/>
  <c r="AE998" i="1"/>
  <c r="C999" i="1"/>
  <c r="E999" i="1"/>
  <c r="F999" i="1"/>
  <c r="H999" i="1"/>
  <c r="I999" i="1"/>
  <c r="J999" i="1"/>
  <c r="L999" i="1"/>
  <c r="M999" i="1"/>
  <c r="V999" i="1"/>
  <c r="AE999" i="1"/>
  <c r="C1000" i="1"/>
  <c r="E1000" i="1"/>
  <c r="F1000" i="1"/>
  <c r="H1000" i="1"/>
  <c r="I1000" i="1"/>
  <c r="J1000" i="1"/>
  <c r="L1000" i="1"/>
  <c r="M1000" i="1"/>
  <c r="V1000" i="1"/>
  <c r="AE1000" i="1"/>
  <c r="C1001" i="1"/>
  <c r="E1001" i="1"/>
  <c r="F1001" i="1"/>
  <c r="H1001" i="1"/>
  <c r="I1001" i="1"/>
  <c r="J1001" i="1"/>
  <c r="L1001" i="1"/>
  <c r="M1001" i="1"/>
  <c r="V1001" i="1"/>
  <c r="AE1001" i="1"/>
  <c r="C1002" i="1"/>
  <c r="E1002" i="1"/>
  <c r="F1002" i="1"/>
  <c r="H1002" i="1"/>
  <c r="I1002" i="1"/>
  <c r="J1002" i="1"/>
  <c r="L1002" i="1"/>
  <c r="M1002" i="1"/>
  <c r="V1002" i="1"/>
  <c r="AE1002" i="1"/>
  <c r="C1003" i="1"/>
  <c r="E1003" i="1"/>
  <c r="F1003" i="1"/>
  <c r="H1003" i="1"/>
  <c r="I1003" i="1"/>
  <c r="J1003" i="1"/>
  <c r="L1003" i="1"/>
  <c r="M1003" i="1"/>
  <c r="V1003" i="1"/>
  <c r="AE1003" i="1"/>
  <c r="C1004" i="1"/>
  <c r="E1004" i="1"/>
  <c r="F1004" i="1"/>
  <c r="H1004" i="1"/>
  <c r="I1004" i="1"/>
  <c r="J1004" i="1"/>
  <c r="L1004" i="1"/>
  <c r="M1004" i="1"/>
  <c r="V1004" i="1"/>
  <c r="AE1004" i="1"/>
  <c r="C1005" i="1"/>
  <c r="E1005" i="1"/>
  <c r="F1005" i="1"/>
  <c r="H1005" i="1"/>
  <c r="I1005" i="1"/>
  <c r="J1005" i="1"/>
  <c r="L1005" i="1"/>
  <c r="M1005" i="1"/>
  <c r="V1005" i="1"/>
  <c r="AE1005" i="1"/>
  <c r="C1006" i="1"/>
  <c r="E1006" i="1"/>
  <c r="F1006" i="1"/>
  <c r="H1006" i="1"/>
  <c r="I1006" i="1"/>
  <c r="J1006" i="1"/>
  <c r="L1006" i="1"/>
  <c r="M1006" i="1"/>
  <c r="V1006" i="1"/>
  <c r="AE1006" i="1"/>
  <c r="C1007" i="1"/>
  <c r="E1007" i="1"/>
  <c r="F1007" i="1"/>
  <c r="H1007" i="1"/>
  <c r="I1007" i="1"/>
  <c r="J1007" i="1"/>
  <c r="L1007" i="1"/>
  <c r="M1007" i="1"/>
  <c r="V1007" i="1"/>
  <c r="AE1007" i="1"/>
  <c r="C1008" i="1"/>
  <c r="E1008" i="1"/>
  <c r="F1008" i="1"/>
  <c r="H1008" i="1"/>
  <c r="I1008" i="1"/>
  <c r="J1008" i="1"/>
  <c r="L1008" i="1"/>
  <c r="M1008" i="1"/>
  <c r="V1008" i="1"/>
  <c r="AE1008" i="1"/>
  <c r="C1009" i="1"/>
  <c r="E1009" i="1"/>
  <c r="F1009" i="1"/>
  <c r="H1009" i="1"/>
  <c r="I1009" i="1"/>
  <c r="J1009" i="1"/>
  <c r="L1009" i="1"/>
  <c r="M1009" i="1"/>
  <c r="V1009" i="1"/>
  <c r="AE1009" i="1"/>
  <c r="C1010" i="1"/>
  <c r="E1010" i="1"/>
  <c r="F1010" i="1"/>
  <c r="H1010" i="1"/>
  <c r="I1010" i="1"/>
  <c r="J1010" i="1"/>
  <c r="L1010" i="1"/>
  <c r="M1010" i="1"/>
  <c r="V1010" i="1"/>
  <c r="AE1010" i="1"/>
  <c r="C1011" i="1"/>
  <c r="E1011" i="1"/>
  <c r="F1011" i="1"/>
  <c r="H1011" i="1"/>
  <c r="I1011" i="1"/>
  <c r="J1011" i="1"/>
  <c r="L1011" i="1"/>
  <c r="M1011" i="1"/>
  <c r="V1011" i="1"/>
  <c r="AE1011" i="1"/>
  <c r="C1012" i="1"/>
  <c r="E1012" i="1"/>
  <c r="F1012" i="1"/>
  <c r="H1012" i="1"/>
  <c r="I1012" i="1"/>
  <c r="J1012" i="1"/>
  <c r="L1012" i="1"/>
  <c r="M1012" i="1"/>
  <c r="AE1012" i="1"/>
  <c r="C1013" i="1"/>
  <c r="E1013" i="1"/>
  <c r="F1013" i="1"/>
  <c r="H1013" i="1"/>
  <c r="I1013" i="1"/>
  <c r="J1013" i="1"/>
  <c r="L1013" i="1"/>
  <c r="M1013" i="1"/>
  <c r="V1013" i="1"/>
  <c r="AE1013" i="1"/>
  <c r="C1014" i="1"/>
  <c r="E1014" i="1"/>
  <c r="F1014" i="1"/>
  <c r="H1014" i="1"/>
  <c r="I1014" i="1"/>
  <c r="J1014" i="1"/>
  <c r="L1014" i="1"/>
  <c r="M1014" i="1"/>
  <c r="V1014" i="1"/>
  <c r="AE1014" i="1"/>
  <c r="C1015" i="1"/>
  <c r="E1015" i="1"/>
  <c r="F1015" i="1"/>
  <c r="H1015" i="1"/>
  <c r="I1015" i="1"/>
  <c r="J1015" i="1"/>
  <c r="L1015" i="1"/>
  <c r="M1015" i="1"/>
  <c r="V1015" i="1"/>
  <c r="AE1015" i="1"/>
  <c r="C1016" i="1"/>
  <c r="E1016" i="1"/>
  <c r="F1016" i="1"/>
  <c r="H1016" i="1"/>
  <c r="I1016" i="1"/>
  <c r="J1016" i="1"/>
  <c r="L1016" i="1"/>
  <c r="M1016" i="1"/>
  <c r="V1016" i="1"/>
  <c r="AE1016" i="1"/>
  <c r="C1017" i="1"/>
  <c r="E1017" i="1"/>
  <c r="F1017" i="1"/>
  <c r="H1017" i="1"/>
  <c r="I1017" i="1"/>
  <c r="J1017" i="1"/>
  <c r="L1017" i="1"/>
  <c r="M1017" i="1"/>
  <c r="V1017" i="1"/>
  <c r="AE1017" i="1"/>
  <c r="C1018" i="1"/>
  <c r="E1018" i="1"/>
  <c r="F1018" i="1"/>
  <c r="H1018" i="1"/>
  <c r="I1018" i="1"/>
  <c r="J1018" i="1"/>
  <c r="L1018" i="1"/>
  <c r="M1018" i="1"/>
  <c r="V1018" i="1"/>
  <c r="AE1018" i="1"/>
  <c r="C1019" i="1"/>
  <c r="E1019" i="1"/>
  <c r="F1019" i="1"/>
  <c r="H1019" i="1"/>
  <c r="I1019" i="1"/>
  <c r="J1019" i="1"/>
  <c r="L1019" i="1"/>
  <c r="M1019" i="1"/>
  <c r="V1019" i="1"/>
  <c r="AE1019" i="1"/>
  <c r="C1020" i="1"/>
  <c r="E1020" i="1"/>
  <c r="F1020" i="1"/>
  <c r="H1020" i="1"/>
  <c r="I1020" i="1"/>
  <c r="J1020" i="1"/>
  <c r="L1020" i="1"/>
  <c r="M1020" i="1"/>
  <c r="V1020" i="1"/>
  <c r="AE1020" i="1"/>
  <c r="C1021" i="1"/>
  <c r="E1021" i="1"/>
  <c r="F1021" i="1"/>
  <c r="H1021" i="1"/>
  <c r="I1021" i="1"/>
  <c r="J1021" i="1"/>
  <c r="L1021" i="1"/>
  <c r="M1021" i="1"/>
  <c r="V1021" i="1"/>
  <c r="AE1021" i="1"/>
  <c r="C1022" i="1"/>
  <c r="E1022" i="1"/>
  <c r="F1022" i="1"/>
  <c r="H1022" i="1"/>
  <c r="I1022" i="1"/>
  <c r="J1022" i="1"/>
  <c r="L1022" i="1"/>
  <c r="M1022" i="1"/>
  <c r="V1022" i="1"/>
  <c r="AE1022" i="1"/>
  <c r="C1023" i="1"/>
  <c r="E1023" i="1"/>
  <c r="F1023" i="1"/>
  <c r="H1023" i="1"/>
  <c r="I1023" i="1"/>
  <c r="J1023" i="1"/>
  <c r="L1023" i="1"/>
  <c r="M1023" i="1"/>
  <c r="V1023" i="1"/>
  <c r="AE1023" i="1"/>
  <c r="C1024" i="1"/>
  <c r="E1024" i="1"/>
  <c r="F1024" i="1"/>
  <c r="H1024" i="1"/>
  <c r="I1024" i="1"/>
  <c r="J1024" i="1"/>
  <c r="L1024" i="1"/>
  <c r="M1024" i="1"/>
  <c r="V1024" i="1"/>
  <c r="AE1024" i="1"/>
  <c r="C1025" i="1"/>
  <c r="E1025" i="1"/>
  <c r="F1025" i="1"/>
  <c r="H1025" i="1"/>
  <c r="I1025" i="1"/>
  <c r="J1025" i="1"/>
  <c r="L1025" i="1"/>
  <c r="M1025" i="1"/>
  <c r="V1025" i="1"/>
  <c r="AE1025" i="1"/>
  <c r="C1026" i="1"/>
  <c r="E1026" i="1"/>
  <c r="F1026" i="1"/>
  <c r="H1026" i="1"/>
  <c r="I1026" i="1"/>
  <c r="J1026" i="1"/>
  <c r="L1026" i="1"/>
  <c r="M1026" i="1"/>
  <c r="V1026" i="1"/>
  <c r="AE1026" i="1"/>
  <c r="C1027" i="1"/>
  <c r="E1027" i="1"/>
  <c r="F1027" i="1"/>
  <c r="H1027" i="1"/>
  <c r="I1027" i="1"/>
  <c r="J1027" i="1"/>
  <c r="L1027" i="1"/>
  <c r="M1027" i="1"/>
  <c r="V1027" i="1"/>
  <c r="AE1027" i="1"/>
  <c r="C1028" i="1"/>
  <c r="E1028" i="1"/>
  <c r="F1028" i="1"/>
  <c r="H1028" i="1"/>
  <c r="I1028" i="1"/>
  <c r="J1028" i="1"/>
  <c r="L1028" i="1"/>
  <c r="M1028" i="1"/>
  <c r="V1028" i="1"/>
  <c r="AE1028" i="1"/>
  <c r="C1029" i="1"/>
  <c r="E1029" i="1"/>
  <c r="F1029" i="1"/>
  <c r="H1029" i="1"/>
  <c r="I1029" i="1"/>
  <c r="J1029" i="1"/>
  <c r="L1029" i="1"/>
  <c r="M1029" i="1"/>
  <c r="V1029" i="1"/>
  <c r="AE1029" i="1"/>
  <c r="C1030" i="1"/>
  <c r="E1030" i="1"/>
  <c r="F1030" i="1"/>
  <c r="H1030" i="1"/>
  <c r="I1030" i="1"/>
  <c r="J1030" i="1"/>
  <c r="L1030" i="1"/>
  <c r="M1030" i="1"/>
  <c r="V1030" i="1"/>
  <c r="AE1030" i="1"/>
  <c r="C1031" i="1"/>
  <c r="E1031" i="1"/>
  <c r="F1031" i="1"/>
  <c r="H1031" i="1"/>
  <c r="I1031" i="1"/>
  <c r="J1031" i="1"/>
  <c r="L1031" i="1"/>
  <c r="M1031" i="1"/>
  <c r="V1031" i="1"/>
  <c r="AE1031" i="1"/>
  <c r="C1032" i="1"/>
  <c r="E1032" i="1"/>
  <c r="F1032" i="1"/>
  <c r="H1032" i="1"/>
  <c r="I1032" i="1"/>
  <c r="J1032" i="1"/>
  <c r="L1032" i="1"/>
  <c r="M1032" i="1"/>
  <c r="V1032" i="1"/>
  <c r="AE1032" i="1"/>
  <c r="C1033" i="1"/>
  <c r="E1033" i="1"/>
  <c r="F1033" i="1"/>
  <c r="H1033" i="1"/>
  <c r="I1033" i="1"/>
  <c r="J1033" i="1"/>
  <c r="L1033" i="1"/>
  <c r="M1033" i="1"/>
  <c r="V1033" i="1"/>
  <c r="AE1033" i="1"/>
  <c r="C1034" i="1"/>
  <c r="E1034" i="1"/>
  <c r="F1034" i="1"/>
  <c r="H1034" i="1"/>
  <c r="I1034" i="1"/>
  <c r="J1034" i="1"/>
  <c r="L1034" i="1"/>
  <c r="M1034" i="1"/>
  <c r="V1034" i="1"/>
  <c r="AE1034" i="1"/>
  <c r="C1035" i="1"/>
  <c r="E1035" i="1"/>
  <c r="F1035" i="1"/>
  <c r="H1035" i="1"/>
  <c r="I1035" i="1"/>
  <c r="J1035" i="1"/>
  <c r="L1035" i="1"/>
  <c r="M1035" i="1"/>
  <c r="V1035" i="1"/>
  <c r="AE1035" i="1"/>
  <c r="C1036" i="1"/>
  <c r="E1036" i="1"/>
  <c r="F1036" i="1"/>
  <c r="H1036" i="1"/>
  <c r="I1036" i="1"/>
  <c r="J1036" i="1"/>
  <c r="L1036" i="1"/>
  <c r="M1036" i="1"/>
  <c r="V1036" i="1"/>
  <c r="AE1036" i="1"/>
  <c r="C1037" i="1"/>
  <c r="E1037" i="1"/>
  <c r="F1037" i="1"/>
  <c r="H1037" i="1"/>
  <c r="I1037" i="1"/>
  <c r="J1037" i="1"/>
  <c r="L1037" i="1"/>
  <c r="M1037" i="1"/>
  <c r="V1037" i="1"/>
  <c r="AE1037" i="1"/>
  <c r="C1038" i="1"/>
  <c r="E1038" i="1"/>
  <c r="F1038" i="1"/>
  <c r="H1038" i="1"/>
  <c r="I1038" i="1"/>
  <c r="J1038" i="1"/>
  <c r="L1038" i="1"/>
  <c r="M1038" i="1"/>
  <c r="V1038" i="1"/>
  <c r="AE1038" i="1"/>
  <c r="C1039" i="1"/>
  <c r="E1039" i="1"/>
  <c r="F1039" i="1"/>
  <c r="H1039" i="1"/>
  <c r="I1039" i="1"/>
  <c r="J1039" i="1"/>
  <c r="L1039" i="1"/>
  <c r="M1039" i="1"/>
  <c r="V1039" i="1"/>
  <c r="AE1039" i="1"/>
  <c r="C1040" i="1"/>
  <c r="E1040" i="1"/>
  <c r="F1040" i="1"/>
  <c r="H1040" i="1"/>
  <c r="I1040" i="1"/>
  <c r="J1040" i="1"/>
  <c r="L1040" i="1"/>
  <c r="M1040" i="1"/>
  <c r="V1040" i="1"/>
  <c r="AE1040" i="1"/>
  <c r="C1041" i="1"/>
  <c r="E1041" i="1"/>
  <c r="F1041" i="1"/>
  <c r="H1041" i="1"/>
  <c r="I1041" i="1"/>
  <c r="J1041" i="1"/>
  <c r="L1041" i="1"/>
  <c r="M1041" i="1"/>
  <c r="V1041" i="1"/>
  <c r="AE1041" i="1"/>
  <c r="C1042" i="1"/>
  <c r="E1042" i="1"/>
  <c r="F1042" i="1"/>
  <c r="H1042" i="1"/>
  <c r="I1042" i="1"/>
  <c r="J1042" i="1"/>
  <c r="L1042" i="1"/>
  <c r="M1042" i="1"/>
  <c r="V1042" i="1"/>
  <c r="AE1042" i="1"/>
  <c r="C1043" i="1"/>
  <c r="E1043" i="1"/>
  <c r="F1043" i="1"/>
  <c r="H1043" i="1"/>
  <c r="I1043" i="1"/>
  <c r="J1043" i="1"/>
  <c r="L1043" i="1"/>
  <c r="M1043" i="1"/>
  <c r="V1043" i="1"/>
  <c r="AE1043" i="1"/>
  <c r="C1044" i="1"/>
  <c r="E1044" i="1"/>
  <c r="F1044" i="1"/>
  <c r="H1044" i="1"/>
  <c r="I1044" i="1"/>
  <c r="J1044" i="1"/>
  <c r="L1044" i="1"/>
  <c r="M1044" i="1"/>
  <c r="V1044" i="1"/>
  <c r="AE1044" i="1"/>
  <c r="C1045" i="1"/>
  <c r="E1045" i="1"/>
  <c r="F1045" i="1"/>
  <c r="H1045" i="1"/>
  <c r="I1045" i="1"/>
  <c r="J1045" i="1"/>
  <c r="L1045" i="1"/>
  <c r="M1045" i="1"/>
  <c r="V1045" i="1"/>
  <c r="AE1045" i="1"/>
  <c r="C1046" i="1"/>
  <c r="E1046" i="1"/>
  <c r="F1046" i="1"/>
  <c r="H1046" i="1"/>
  <c r="I1046" i="1"/>
  <c r="J1046" i="1"/>
  <c r="L1046" i="1"/>
  <c r="M1046" i="1"/>
  <c r="V1046" i="1"/>
  <c r="AE1046" i="1"/>
  <c r="C1047" i="1"/>
  <c r="E1047" i="1"/>
  <c r="F1047" i="1"/>
  <c r="H1047" i="1"/>
  <c r="I1047" i="1"/>
  <c r="J1047" i="1"/>
  <c r="L1047" i="1"/>
  <c r="M1047" i="1"/>
  <c r="V1047" i="1"/>
  <c r="AE1047" i="1"/>
  <c r="C1048" i="1"/>
  <c r="E1048" i="1"/>
  <c r="F1048" i="1"/>
  <c r="H1048" i="1"/>
  <c r="I1048" i="1"/>
  <c r="J1048" i="1"/>
  <c r="L1048" i="1"/>
  <c r="M1048" i="1"/>
  <c r="V1048" i="1"/>
  <c r="AE1048" i="1"/>
  <c r="C1049" i="1"/>
  <c r="E1049" i="1"/>
  <c r="F1049" i="1"/>
  <c r="H1049" i="1"/>
  <c r="I1049" i="1"/>
  <c r="J1049" i="1"/>
  <c r="L1049" i="1"/>
  <c r="M1049" i="1"/>
  <c r="V1049" i="1"/>
  <c r="AE1049" i="1"/>
  <c r="C1050" i="1"/>
  <c r="E1050" i="1"/>
  <c r="F1050" i="1"/>
  <c r="H1050" i="1"/>
  <c r="I1050" i="1"/>
  <c r="J1050" i="1"/>
  <c r="L1050" i="1"/>
  <c r="M1050" i="1"/>
  <c r="V1050" i="1"/>
  <c r="AE1050" i="1"/>
  <c r="C1051" i="1"/>
  <c r="E1051" i="1"/>
  <c r="F1051" i="1"/>
  <c r="H1051" i="1"/>
  <c r="I1051" i="1"/>
  <c r="J1051" i="1"/>
  <c r="L1051" i="1"/>
  <c r="M1051" i="1"/>
  <c r="V1051" i="1"/>
  <c r="AE1051" i="1"/>
  <c r="C1052" i="1"/>
  <c r="E1052" i="1"/>
  <c r="F1052" i="1"/>
  <c r="H1052" i="1"/>
  <c r="I1052" i="1"/>
  <c r="J1052" i="1"/>
  <c r="L1052" i="1"/>
  <c r="M1052" i="1"/>
  <c r="V1052" i="1"/>
  <c r="AE1052" i="1"/>
  <c r="C1053" i="1"/>
  <c r="E1053" i="1"/>
  <c r="F1053" i="1"/>
  <c r="H1053" i="1"/>
  <c r="I1053" i="1"/>
  <c r="J1053" i="1"/>
  <c r="L1053" i="1"/>
  <c r="M1053" i="1"/>
  <c r="V1053" i="1"/>
  <c r="AE1053" i="1"/>
  <c r="C1054" i="1"/>
  <c r="E1054" i="1"/>
  <c r="F1054" i="1"/>
  <c r="H1054" i="1"/>
  <c r="I1054" i="1"/>
  <c r="J1054" i="1"/>
  <c r="L1054" i="1"/>
  <c r="M1054" i="1"/>
  <c r="V1054" i="1"/>
  <c r="AE1054" i="1"/>
  <c r="C1055" i="1"/>
  <c r="E1055" i="1"/>
  <c r="F1055" i="1"/>
  <c r="H1055" i="1"/>
  <c r="I1055" i="1"/>
  <c r="J1055" i="1"/>
  <c r="L1055" i="1"/>
  <c r="M1055" i="1"/>
  <c r="V1055" i="1"/>
  <c r="AE1055" i="1"/>
  <c r="C1056" i="1"/>
  <c r="E1056" i="1"/>
  <c r="F1056" i="1"/>
  <c r="H1056" i="1"/>
  <c r="I1056" i="1"/>
  <c r="J1056" i="1"/>
  <c r="L1056" i="1"/>
  <c r="M1056" i="1"/>
  <c r="V1056" i="1"/>
  <c r="AE1056" i="1"/>
  <c r="C1057" i="1"/>
  <c r="E1057" i="1"/>
  <c r="F1057" i="1"/>
  <c r="H1057" i="1"/>
  <c r="I1057" i="1"/>
  <c r="J1057" i="1"/>
  <c r="L1057" i="1"/>
  <c r="M1057" i="1"/>
  <c r="V1057" i="1"/>
  <c r="AE1057" i="1"/>
  <c r="C1058" i="1"/>
  <c r="E1058" i="1"/>
  <c r="F1058" i="1"/>
  <c r="H1058" i="1"/>
  <c r="I1058" i="1"/>
  <c r="J1058" i="1"/>
  <c r="L1058" i="1"/>
  <c r="M1058" i="1"/>
  <c r="V1058" i="1"/>
  <c r="AE1058" i="1"/>
  <c r="C1059" i="1"/>
  <c r="E1059" i="1"/>
  <c r="F1059" i="1"/>
  <c r="H1059" i="1"/>
  <c r="I1059" i="1"/>
  <c r="J1059" i="1"/>
  <c r="L1059" i="1"/>
  <c r="M1059" i="1"/>
  <c r="V1059" i="1"/>
  <c r="AE1059" i="1"/>
  <c r="C1060" i="1"/>
  <c r="E1060" i="1"/>
  <c r="F1060" i="1"/>
  <c r="H1060" i="1"/>
  <c r="I1060" i="1"/>
  <c r="J1060" i="1"/>
  <c r="L1060" i="1"/>
  <c r="M1060" i="1"/>
  <c r="V1060" i="1"/>
  <c r="AE1060" i="1"/>
  <c r="C1061" i="1"/>
  <c r="E1061" i="1"/>
  <c r="F1061" i="1"/>
  <c r="H1061" i="1"/>
  <c r="I1061" i="1"/>
  <c r="J1061" i="1"/>
  <c r="L1061" i="1"/>
  <c r="M1061" i="1"/>
  <c r="V1061" i="1"/>
  <c r="AE1061" i="1"/>
  <c r="C1062" i="1"/>
  <c r="E1062" i="1"/>
  <c r="F1062" i="1"/>
  <c r="H1062" i="1"/>
  <c r="I1062" i="1"/>
  <c r="J1062" i="1"/>
  <c r="L1062" i="1"/>
  <c r="M1062" i="1"/>
  <c r="V1062" i="1"/>
  <c r="AE1062" i="1"/>
  <c r="C1063" i="1"/>
  <c r="E1063" i="1"/>
  <c r="F1063" i="1"/>
  <c r="H1063" i="1"/>
  <c r="I1063" i="1"/>
  <c r="J1063" i="1"/>
  <c r="L1063" i="1"/>
  <c r="M1063" i="1"/>
  <c r="V1063" i="1"/>
  <c r="AE1063" i="1"/>
  <c r="C1064" i="1"/>
  <c r="E1064" i="1"/>
  <c r="F1064" i="1"/>
  <c r="H1064" i="1"/>
  <c r="I1064" i="1"/>
  <c r="J1064" i="1"/>
  <c r="L1064" i="1"/>
  <c r="M1064" i="1"/>
  <c r="V1064" i="1"/>
  <c r="AE1064" i="1"/>
  <c r="C1065" i="1"/>
  <c r="E1065" i="1"/>
  <c r="F1065" i="1"/>
  <c r="H1065" i="1"/>
  <c r="I1065" i="1"/>
  <c r="J1065" i="1"/>
  <c r="L1065" i="1"/>
  <c r="M1065" i="1"/>
  <c r="V1065" i="1"/>
  <c r="AE1065" i="1"/>
  <c r="C1066" i="1"/>
  <c r="E1066" i="1"/>
  <c r="F1066" i="1"/>
  <c r="H1066" i="1"/>
  <c r="I1066" i="1"/>
  <c r="J1066" i="1"/>
  <c r="L1066" i="1"/>
  <c r="M1066" i="1"/>
  <c r="V1066" i="1"/>
  <c r="AE1066" i="1"/>
  <c r="C1067" i="1"/>
  <c r="E1067" i="1"/>
  <c r="F1067" i="1"/>
  <c r="H1067" i="1"/>
  <c r="I1067" i="1"/>
  <c r="J1067" i="1"/>
  <c r="L1067" i="1"/>
  <c r="M1067" i="1"/>
  <c r="V1067" i="1"/>
  <c r="AE1067" i="1"/>
  <c r="C1068" i="1"/>
  <c r="E1068" i="1"/>
  <c r="F1068" i="1"/>
  <c r="H1068" i="1"/>
  <c r="I1068" i="1"/>
  <c r="J1068" i="1"/>
  <c r="L1068" i="1"/>
  <c r="M1068" i="1"/>
  <c r="V1068" i="1"/>
  <c r="AE1068" i="1"/>
  <c r="C1069" i="1"/>
  <c r="E1069" i="1"/>
  <c r="F1069" i="1"/>
  <c r="H1069" i="1"/>
  <c r="I1069" i="1"/>
  <c r="J1069" i="1"/>
  <c r="L1069" i="1"/>
  <c r="M1069" i="1"/>
  <c r="V1069" i="1"/>
  <c r="AE1069" i="1"/>
  <c r="C1070" i="1"/>
  <c r="E1070" i="1"/>
  <c r="F1070" i="1"/>
  <c r="H1070" i="1"/>
  <c r="I1070" i="1"/>
  <c r="J1070" i="1"/>
  <c r="L1070" i="1"/>
  <c r="M1070" i="1"/>
  <c r="V1070" i="1"/>
  <c r="AE1070" i="1"/>
  <c r="C1071" i="1"/>
  <c r="E1071" i="1"/>
  <c r="F1071" i="1"/>
  <c r="H1071" i="1"/>
  <c r="I1071" i="1"/>
  <c r="J1071" i="1"/>
  <c r="L1071" i="1"/>
  <c r="M1071" i="1"/>
  <c r="V1071" i="1"/>
  <c r="AE1071" i="1"/>
  <c r="C1072" i="1"/>
  <c r="E1072" i="1"/>
  <c r="F1072" i="1"/>
  <c r="H1072" i="1"/>
  <c r="I1072" i="1"/>
  <c r="J1072" i="1"/>
  <c r="L1072" i="1"/>
  <c r="M1072" i="1"/>
  <c r="V1072" i="1"/>
  <c r="AE1072" i="1"/>
  <c r="C1073" i="1"/>
  <c r="E1073" i="1"/>
  <c r="F1073" i="1"/>
  <c r="H1073" i="1"/>
  <c r="I1073" i="1"/>
  <c r="J1073" i="1"/>
  <c r="L1073" i="1"/>
  <c r="M1073" i="1"/>
  <c r="V1073" i="1"/>
  <c r="AE1073" i="1"/>
  <c r="C1074" i="1"/>
  <c r="E1074" i="1"/>
  <c r="F1074" i="1"/>
  <c r="H1074" i="1"/>
  <c r="I1074" i="1"/>
  <c r="J1074" i="1"/>
  <c r="L1074" i="1"/>
  <c r="M1074" i="1"/>
  <c r="V1074" i="1"/>
  <c r="AE1074" i="1"/>
  <c r="C1075" i="1"/>
  <c r="E1075" i="1"/>
  <c r="F1075" i="1"/>
  <c r="H1075" i="1"/>
  <c r="I1075" i="1"/>
  <c r="J1075" i="1"/>
  <c r="L1075" i="1"/>
  <c r="M1075" i="1"/>
  <c r="V1075" i="1"/>
  <c r="AE1075" i="1"/>
  <c r="C1076" i="1"/>
  <c r="E1076" i="1"/>
  <c r="F1076" i="1"/>
  <c r="H1076" i="1"/>
  <c r="I1076" i="1"/>
  <c r="J1076" i="1"/>
  <c r="L1076" i="1"/>
  <c r="M1076" i="1"/>
  <c r="V1076" i="1"/>
  <c r="AE1076" i="1"/>
  <c r="C1077" i="1"/>
  <c r="E1077" i="1"/>
  <c r="F1077" i="1"/>
  <c r="H1077" i="1"/>
  <c r="I1077" i="1"/>
  <c r="J1077" i="1"/>
  <c r="L1077" i="1"/>
  <c r="M1077" i="1"/>
  <c r="V1077" i="1"/>
  <c r="AE1077" i="1"/>
  <c r="C1078" i="1"/>
  <c r="E1078" i="1"/>
  <c r="F1078" i="1"/>
  <c r="H1078" i="1"/>
  <c r="I1078" i="1"/>
  <c r="J1078" i="1"/>
  <c r="L1078" i="1"/>
  <c r="M1078" i="1"/>
  <c r="V1078" i="1"/>
  <c r="AE1078" i="1"/>
  <c r="C1079" i="1"/>
  <c r="E1079" i="1"/>
  <c r="F1079" i="1"/>
  <c r="H1079" i="1"/>
  <c r="I1079" i="1"/>
  <c r="J1079" i="1"/>
  <c r="L1079" i="1"/>
  <c r="M1079" i="1"/>
  <c r="V1079" i="1"/>
  <c r="AE1079" i="1"/>
  <c r="C1080" i="1"/>
  <c r="E1080" i="1"/>
  <c r="F1080" i="1"/>
  <c r="H1080" i="1"/>
  <c r="I1080" i="1"/>
  <c r="J1080" i="1"/>
  <c r="L1080" i="1"/>
  <c r="M1080" i="1"/>
  <c r="V1080" i="1"/>
  <c r="AE1080" i="1"/>
  <c r="C1081" i="1"/>
  <c r="E1081" i="1"/>
  <c r="F1081" i="1"/>
  <c r="H1081" i="1"/>
  <c r="I1081" i="1"/>
  <c r="J1081" i="1"/>
  <c r="L1081" i="1"/>
  <c r="M1081" i="1"/>
  <c r="V1081" i="1"/>
  <c r="AE1081" i="1"/>
  <c r="C1082" i="1"/>
  <c r="E1082" i="1"/>
  <c r="F1082" i="1"/>
  <c r="H1082" i="1"/>
  <c r="I1082" i="1"/>
  <c r="J1082" i="1"/>
  <c r="L1082" i="1"/>
  <c r="M1082" i="1"/>
  <c r="V1082" i="1"/>
  <c r="AE1082" i="1"/>
  <c r="C1083" i="1"/>
  <c r="E1083" i="1"/>
  <c r="F1083" i="1"/>
  <c r="H1083" i="1"/>
  <c r="I1083" i="1"/>
  <c r="J1083" i="1"/>
  <c r="L1083" i="1"/>
  <c r="M1083" i="1"/>
  <c r="V1083" i="1"/>
  <c r="AE1083" i="1"/>
  <c r="C1084" i="1"/>
  <c r="E1084" i="1"/>
  <c r="F1084" i="1"/>
  <c r="H1084" i="1"/>
  <c r="I1084" i="1"/>
  <c r="J1084" i="1"/>
  <c r="L1084" i="1"/>
  <c r="M1084" i="1"/>
  <c r="V1084" i="1"/>
  <c r="AE1084" i="1"/>
  <c r="C1085" i="1"/>
  <c r="E1085" i="1"/>
  <c r="F1085" i="1"/>
  <c r="H1085" i="1"/>
  <c r="I1085" i="1"/>
  <c r="J1085" i="1"/>
  <c r="L1085" i="1"/>
  <c r="M1085" i="1"/>
  <c r="V1085" i="1"/>
  <c r="AE1085" i="1"/>
  <c r="C1086" i="1"/>
  <c r="E1086" i="1"/>
  <c r="F1086" i="1"/>
  <c r="H1086" i="1"/>
  <c r="I1086" i="1"/>
  <c r="J1086" i="1"/>
  <c r="L1086" i="1"/>
  <c r="M1086" i="1"/>
  <c r="V1086" i="1"/>
  <c r="AE1086" i="1"/>
  <c r="C1087" i="1"/>
  <c r="E1087" i="1"/>
  <c r="F1087" i="1"/>
  <c r="H1087" i="1"/>
  <c r="I1087" i="1"/>
  <c r="J1087" i="1"/>
  <c r="L1087" i="1"/>
  <c r="M1087" i="1"/>
  <c r="V1087" i="1"/>
  <c r="AE1087" i="1"/>
  <c r="C1088" i="1"/>
  <c r="E1088" i="1"/>
  <c r="F1088" i="1"/>
  <c r="H1088" i="1"/>
  <c r="I1088" i="1"/>
  <c r="J1088" i="1"/>
  <c r="L1088" i="1"/>
  <c r="M1088" i="1"/>
  <c r="V1088" i="1"/>
  <c r="AE1088" i="1"/>
  <c r="C1089" i="1"/>
  <c r="E1089" i="1"/>
  <c r="F1089" i="1"/>
  <c r="H1089" i="1"/>
  <c r="I1089" i="1"/>
  <c r="J1089" i="1"/>
  <c r="L1089" i="1"/>
  <c r="M1089" i="1"/>
  <c r="V1089" i="1"/>
  <c r="AE1089" i="1"/>
  <c r="C1090" i="1"/>
  <c r="E1090" i="1"/>
  <c r="F1090" i="1"/>
  <c r="H1090" i="1"/>
  <c r="I1090" i="1"/>
  <c r="J1090" i="1"/>
  <c r="L1090" i="1"/>
  <c r="M1090" i="1"/>
  <c r="V1090" i="1"/>
  <c r="AE1090" i="1"/>
  <c r="C1091" i="1"/>
  <c r="E1091" i="1"/>
  <c r="F1091" i="1"/>
  <c r="H1091" i="1"/>
  <c r="I1091" i="1"/>
  <c r="J1091" i="1"/>
  <c r="L1091" i="1"/>
  <c r="M1091" i="1"/>
  <c r="V1091" i="1"/>
  <c r="AE1091" i="1"/>
  <c r="C1092" i="1"/>
  <c r="E1092" i="1"/>
  <c r="F1092" i="1"/>
  <c r="H1092" i="1"/>
  <c r="I1092" i="1"/>
  <c r="J1092" i="1"/>
  <c r="L1092" i="1"/>
  <c r="M1092" i="1"/>
  <c r="V1092" i="1"/>
  <c r="AE1092" i="1"/>
  <c r="C1093" i="1"/>
  <c r="E1093" i="1"/>
  <c r="F1093" i="1"/>
  <c r="H1093" i="1"/>
  <c r="I1093" i="1"/>
  <c r="J1093" i="1"/>
  <c r="L1093" i="1"/>
  <c r="M1093" i="1"/>
  <c r="V1093" i="1"/>
  <c r="AE1093" i="1"/>
  <c r="C1094" i="1"/>
  <c r="E1094" i="1"/>
  <c r="F1094" i="1"/>
  <c r="H1094" i="1"/>
  <c r="I1094" i="1"/>
  <c r="J1094" i="1"/>
  <c r="L1094" i="1"/>
  <c r="M1094" i="1"/>
  <c r="V1094" i="1"/>
  <c r="AE1094" i="1"/>
  <c r="C1095" i="1"/>
  <c r="E1095" i="1"/>
  <c r="F1095" i="1"/>
  <c r="H1095" i="1"/>
  <c r="I1095" i="1"/>
  <c r="J1095" i="1"/>
  <c r="L1095" i="1"/>
  <c r="M1095" i="1"/>
  <c r="V1095" i="1"/>
  <c r="AE1095" i="1"/>
  <c r="C1096" i="1"/>
  <c r="E1096" i="1"/>
  <c r="F1096" i="1"/>
  <c r="H1096" i="1"/>
  <c r="I1096" i="1"/>
  <c r="J1096" i="1"/>
  <c r="L1096" i="1"/>
  <c r="M1096" i="1"/>
  <c r="V1096" i="1"/>
  <c r="AE1096" i="1"/>
  <c r="C1097" i="1"/>
  <c r="E1097" i="1"/>
  <c r="F1097" i="1"/>
  <c r="H1097" i="1"/>
  <c r="I1097" i="1"/>
  <c r="J1097" i="1"/>
  <c r="L1097" i="1"/>
  <c r="M1097" i="1"/>
  <c r="V1097" i="1"/>
  <c r="AE1097" i="1"/>
  <c r="C1098" i="1"/>
  <c r="E1098" i="1"/>
  <c r="F1098" i="1"/>
  <c r="H1098" i="1"/>
  <c r="I1098" i="1"/>
  <c r="J1098" i="1"/>
  <c r="L1098" i="1"/>
  <c r="M1098" i="1"/>
  <c r="V1098" i="1"/>
  <c r="AE1098" i="1"/>
  <c r="C1099" i="1"/>
  <c r="E1099" i="1"/>
  <c r="F1099" i="1"/>
  <c r="H1099" i="1"/>
  <c r="I1099" i="1"/>
  <c r="J1099" i="1"/>
  <c r="L1099" i="1"/>
  <c r="M1099" i="1"/>
  <c r="V1099" i="1"/>
  <c r="AE1099" i="1"/>
  <c r="C1100" i="1"/>
  <c r="E1100" i="1"/>
  <c r="F1100" i="1"/>
  <c r="H1100" i="1"/>
  <c r="I1100" i="1"/>
  <c r="J1100" i="1"/>
  <c r="L1100" i="1"/>
  <c r="M1100" i="1"/>
  <c r="V1100" i="1"/>
  <c r="AE1100" i="1"/>
  <c r="C1101" i="1"/>
  <c r="E1101" i="1"/>
  <c r="F1101" i="1"/>
  <c r="H1101" i="1"/>
  <c r="I1101" i="1"/>
  <c r="J1101" i="1"/>
  <c r="L1101" i="1"/>
  <c r="M1101" i="1"/>
  <c r="V1101" i="1"/>
  <c r="AE1101" i="1"/>
  <c r="C1102" i="1"/>
  <c r="E1102" i="1"/>
  <c r="F1102" i="1"/>
  <c r="H1102" i="1"/>
  <c r="I1102" i="1"/>
  <c r="J1102" i="1"/>
  <c r="L1102" i="1"/>
  <c r="M1102" i="1"/>
  <c r="V1102" i="1"/>
  <c r="AE1102" i="1"/>
  <c r="C1103" i="1"/>
  <c r="E1103" i="1"/>
  <c r="F1103" i="1"/>
  <c r="H1103" i="1"/>
  <c r="I1103" i="1"/>
  <c r="J1103" i="1"/>
  <c r="L1103" i="1"/>
  <c r="M1103" i="1"/>
  <c r="V1103" i="1"/>
  <c r="AE1103" i="1"/>
  <c r="C1104" i="1"/>
  <c r="E1104" i="1"/>
  <c r="F1104" i="1"/>
  <c r="H1104" i="1"/>
  <c r="I1104" i="1"/>
  <c r="J1104" i="1"/>
  <c r="L1104" i="1"/>
  <c r="M1104" i="1"/>
  <c r="V1104" i="1"/>
  <c r="AE1104" i="1"/>
  <c r="C1105" i="1"/>
  <c r="E1105" i="1"/>
  <c r="F1105" i="1"/>
  <c r="H1105" i="1"/>
  <c r="I1105" i="1"/>
  <c r="J1105" i="1"/>
  <c r="L1105" i="1"/>
  <c r="M1105" i="1"/>
  <c r="V1105" i="1"/>
  <c r="AE1105" i="1"/>
  <c r="C1106" i="1"/>
  <c r="E1106" i="1"/>
  <c r="F1106" i="1"/>
  <c r="H1106" i="1"/>
  <c r="I1106" i="1"/>
  <c r="J1106" i="1"/>
  <c r="L1106" i="1"/>
  <c r="M1106" i="1"/>
  <c r="V1106" i="1"/>
  <c r="AE1106" i="1"/>
  <c r="C1107" i="1"/>
  <c r="E1107" i="1"/>
  <c r="F1107" i="1"/>
  <c r="H1107" i="1"/>
  <c r="I1107" i="1"/>
  <c r="J1107" i="1"/>
  <c r="L1107" i="1"/>
  <c r="M1107" i="1"/>
  <c r="V1107" i="1"/>
  <c r="AE1107" i="1"/>
  <c r="C1108" i="1"/>
  <c r="E1108" i="1"/>
  <c r="F1108" i="1"/>
  <c r="H1108" i="1"/>
  <c r="I1108" i="1"/>
  <c r="J1108" i="1"/>
  <c r="L1108" i="1"/>
  <c r="M1108" i="1"/>
  <c r="V1108" i="1"/>
  <c r="AE1108" i="1"/>
  <c r="C1109" i="1"/>
  <c r="E1109" i="1"/>
  <c r="F1109" i="1"/>
  <c r="H1109" i="1"/>
  <c r="I1109" i="1"/>
  <c r="J1109" i="1"/>
  <c r="L1109" i="1"/>
  <c r="M1109" i="1"/>
  <c r="V1109" i="1"/>
  <c r="AE1109" i="1"/>
  <c r="C1110" i="1"/>
  <c r="E1110" i="1"/>
  <c r="F1110" i="1"/>
  <c r="H1110" i="1"/>
  <c r="I1110" i="1"/>
  <c r="J1110" i="1"/>
  <c r="L1110" i="1"/>
  <c r="M1110" i="1"/>
  <c r="V1110" i="1"/>
  <c r="AE1110" i="1"/>
  <c r="C1111" i="1"/>
  <c r="E1111" i="1"/>
  <c r="F1111" i="1"/>
  <c r="H1111" i="1"/>
  <c r="I1111" i="1"/>
  <c r="J1111" i="1"/>
  <c r="L1111" i="1"/>
  <c r="M1111" i="1"/>
  <c r="V1111" i="1"/>
  <c r="AE1111" i="1"/>
  <c r="C1112" i="1"/>
  <c r="E1112" i="1"/>
  <c r="F1112" i="1"/>
  <c r="H1112" i="1"/>
  <c r="I1112" i="1"/>
  <c r="J1112" i="1"/>
  <c r="L1112" i="1"/>
  <c r="M1112" i="1"/>
  <c r="V1112" i="1"/>
  <c r="AE1112" i="1"/>
  <c r="C1113" i="1"/>
  <c r="E1113" i="1"/>
  <c r="F1113" i="1"/>
  <c r="H1113" i="1"/>
  <c r="I1113" i="1"/>
  <c r="J1113" i="1"/>
  <c r="L1113" i="1"/>
  <c r="M1113" i="1"/>
  <c r="V1113" i="1"/>
  <c r="AE1113" i="1"/>
  <c r="C1114" i="1"/>
  <c r="E1114" i="1"/>
  <c r="F1114" i="1"/>
  <c r="H1114" i="1"/>
  <c r="I1114" i="1"/>
  <c r="J1114" i="1"/>
  <c r="L1114" i="1"/>
  <c r="M1114" i="1"/>
  <c r="V1114" i="1"/>
  <c r="AE1114" i="1"/>
  <c r="C1115" i="1"/>
  <c r="E1115" i="1"/>
  <c r="F1115" i="1"/>
  <c r="H1115" i="1"/>
  <c r="I1115" i="1"/>
  <c r="J1115" i="1"/>
  <c r="L1115" i="1"/>
  <c r="M1115" i="1"/>
  <c r="V1115" i="1"/>
  <c r="AE1115" i="1"/>
  <c r="C1116" i="1"/>
  <c r="E1116" i="1"/>
  <c r="F1116" i="1"/>
  <c r="H1116" i="1"/>
  <c r="I1116" i="1"/>
  <c r="J1116" i="1"/>
  <c r="L1116" i="1"/>
  <c r="M1116" i="1"/>
  <c r="V1116" i="1"/>
  <c r="AE1116" i="1"/>
  <c r="C1117" i="1"/>
  <c r="E1117" i="1"/>
  <c r="F1117" i="1"/>
  <c r="H1117" i="1"/>
  <c r="I1117" i="1"/>
  <c r="J1117" i="1"/>
  <c r="L1117" i="1"/>
  <c r="M1117" i="1"/>
  <c r="V1117" i="1"/>
  <c r="AE1117" i="1"/>
  <c r="C1118" i="1"/>
  <c r="E1118" i="1"/>
  <c r="F1118" i="1"/>
  <c r="H1118" i="1"/>
  <c r="I1118" i="1"/>
  <c r="J1118" i="1"/>
  <c r="L1118" i="1"/>
  <c r="M1118" i="1"/>
  <c r="V1118" i="1"/>
  <c r="AE1118" i="1"/>
  <c r="C1119" i="1"/>
  <c r="E1119" i="1"/>
  <c r="F1119" i="1"/>
  <c r="H1119" i="1"/>
  <c r="I1119" i="1"/>
  <c r="J1119" i="1"/>
  <c r="L1119" i="1"/>
  <c r="M1119" i="1"/>
  <c r="V1119" i="1"/>
  <c r="AE1119" i="1"/>
  <c r="C1120" i="1"/>
  <c r="E1120" i="1"/>
  <c r="F1120" i="1"/>
  <c r="H1120" i="1"/>
  <c r="I1120" i="1"/>
  <c r="J1120" i="1"/>
  <c r="L1120" i="1"/>
  <c r="M1120" i="1"/>
  <c r="V1120" i="1"/>
  <c r="AE1120" i="1"/>
  <c r="C1121" i="1"/>
  <c r="E1121" i="1"/>
  <c r="F1121" i="1"/>
  <c r="H1121" i="1"/>
  <c r="I1121" i="1"/>
  <c r="J1121" i="1"/>
  <c r="L1121" i="1"/>
  <c r="M1121" i="1"/>
  <c r="V1121" i="1"/>
  <c r="AE1121" i="1"/>
  <c r="C1122" i="1"/>
  <c r="E1122" i="1"/>
  <c r="F1122" i="1"/>
  <c r="H1122" i="1"/>
  <c r="I1122" i="1"/>
  <c r="J1122" i="1"/>
  <c r="L1122" i="1"/>
  <c r="M1122" i="1"/>
  <c r="V1122" i="1"/>
  <c r="AE1122" i="1"/>
  <c r="C1123" i="1"/>
  <c r="E1123" i="1"/>
  <c r="F1123" i="1"/>
  <c r="H1123" i="1"/>
  <c r="I1123" i="1"/>
  <c r="J1123" i="1"/>
  <c r="L1123" i="1"/>
  <c r="M1123" i="1"/>
  <c r="V1123" i="1"/>
  <c r="AE1123" i="1"/>
  <c r="C1124" i="1"/>
  <c r="E1124" i="1"/>
  <c r="F1124" i="1"/>
  <c r="H1124" i="1"/>
  <c r="I1124" i="1"/>
  <c r="J1124" i="1"/>
  <c r="L1124" i="1"/>
  <c r="M1124" i="1"/>
  <c r="V1124" i="1"/>
  <c r="AE1124" i="1"/>
  <c r="C1125" i="1"/>
  <c r="E1125" i="1"/>
  <c r="F1125" i="1"/>
  <c r="H1125" i="1"/>
  <c r="I1125" i="1"/>
  <c r="J1125" i="1"/>
  <c r="L1125" i="1"/>
  <c r="M1125" i="1"/>
  <c r="V1125" i="1"/>
  <c r="AE1125" i="1"/>
  <c r="C1126" i="1"/>
  <c r="E1126" i="1"/>
  <c r="F1126" i="1"/>
  <c r="H1126" i="1"/>
  <c r="I1126" i="1"/>
  <c r="J1126" i="1"/>
  <c r="L1126" i="1"/>
  <c r="M1126" i="1"/>
  <c r="V1126" i="1"/>
  <c r="AE1126" i="1"/>
  <c r="C1127" i="1"/>
  <c r="E1127" i="1"/>
  <c r="F1127" i="1"/>
  <c r="H1127" i="1"/>
  <c r="I1127" i="1"/>
  <c r="J1127" i="1"/>
  <c r="L1127" i="1"/>
  <c r="M1127" i="1"/>
  <c r="V1127" i="1"/>
  <c r="AE1127" i="1"/>
  <c r="C1128" i="1"/>
  <c r="E1128" i="1"/>
  <c r="F1128" i="1"/>
  <c r="H1128" i="1"/>
  <c r="I1128" i="1"/>
  <c r="J1128" i="1"/>
  <c r="L1128" i="1"/>
  <c r="M1128" i="1"/>
  <c r="V1128" i="1"/>
  <c r="AE1128" i="1"/>
  <c r="C1129" i="1"/>
  <c r="E1129" i="1"/>
  <c r="F1129" i="1"/>
  <c r="H1129" i="1"/>
  <c r="I1129" i="1"/>
  <c r="J1129" i="1"/>
  <c r="L1129" i="1"/>
  <c r="M1129" i="1"/>
  <c r="V1129" i="1"/>
  <c r="AE1129" i="1"/>
  <c r="C1130" i="1"/>
  <c r="E1130" i="1"/>
  <c r="F1130" i="1"/>
  <c r="H1130" i="1"/>
  <c r="I1130" i="1"/>
  <c r="J1130" i="1"/>
  <c r="L1130" i="1"/>
  <c r="M1130" i="1"/>
  <c r="V1130" i="1"/>
  <c r="AE1130" i="1"/>
  <c r="C1131" i="1"/>
  <c r="E1131" i="1"/>
  <c r="F1131" i="1"/>
  <c r="H1131" i="1"/>
  <c r="I1131" i="1"/>
  <c r="J1131" i="1"/>
  <c r="L1131" i="1"/>
  <c r="M1131" i="1"/>
  <c r="V1131" i="1"/>
  <c r="AE1131" i="1"/>
  <c r="C1132" i="1"/>
  <c r="E1132" i="1"/>
  <c r="F1132" i="1"/>
  <c r="H1132" i="1"/>
  <c r="I1132" i="1"/>
  <c r="J1132" i="1"/>
  <c r="L1132" i="1"/>
  <c r="M1132" i="1"/>
  <c r="V1132" i="1"/>
  <c r="AE1132" i="1"/>
  <c r="C1133" i="1"/>
  <c r="E1133" i="1"/>
  <c r="F1133" i="1"/>
  <c r="H1133" i="1"/>
  <c r="I1133" i="1"/>
  <c r="J1133" i="1"/>
  <c r="L1133" i="1"/>
  <c r="M1133" i="1"/>
  <c r="V1133" i="1"/>
  <c r="AE1133" i="1"/>
  <c r="C1134" i="1"/>
  <c r="E1134" i="1"/>
  <c r="F1134" i="1"/>
  <c r="H1134" i="1"/>
  <c r="I1134" i="1"/>
  <c r="J1134" i="1"/>
  <c r="L1134" i="1"/>
  <c r="M1134" i="1"/>
  <c r="V1134" i="1"/>
  <c r="AE1134" i="1"/>
  <c r="C1135" i="1"/>
  <c r="E1135" i="1"/>
  <c r="F1135" i="1"/>
  <c r="H1135" i="1"/>
  <c r="I1135" i="1"/>
  <c r="J1135" i="1"/>
  <c r="L1135" i="1"/>
  <c r="M1135" i="1"/>
  <c r="V1135" i="1"/>
  <c r="AE1135" i="1"/>
  <c r="C1136" i="1"/>
  <c r="E1136" i="1"/>
  <c r="F1136" i="1"/>
  <c r="H1136" i="1"/>
  <c r="I1136" i="1"/>
  <c r="J1136" i="1"/>
  <c r="L1136" i="1"/>
  <c r="M1136" i="1"/>
  <c r="V1136" i="1"/>
  <c r="AE1136" i="1"/>
  <c r="C1137" i="1"/>
  <c r="E1137" i="1"/>
  <c r="F1137" i="1"/>
  <c r="H1137" i="1"/>
  <c r="I1137" i="1"/>
  <c r="J1137" i="1"/>
  <c r="L1137" i="1"/>
  <c r="M1137" i="1"/>
  <c r="V1137" i="1"/>
  <c r="AE1137" i="1"/>
  <c r="C1138" i="1"/>
  <c r="E1138" i="1"/>
  <c r="F1138" i="1"/>
  <c r="H1138" i="1"/>
  <c r="I1138" i="1"/>
  <c r="J1138" i="1"/>
  <c r="L1138" i="1"/>
  <c r="M1138" i="1"/>
  <c r="V1138" i="1"/>
  <c r="AE1138" i="1"/>
  <c r="C1139" i="1"/>
  <c r="E1139" i="1"/>
  <c r="F1139" i="1"/>
  <c r="H1139" i="1"/>
  <c r="I1139" i="1"/>
  <c r="J1139" i="1"/>
  <c r="L1139" i="1"/>
  <c r="M1139" i="1"/>
  <c r="V1139" i="1"/>
  <c r="AE1139" i="1"/>
  <c r="C1140" i="1"/>
  <c r="E1140" i="1"/>
  <c r="F1140" i="1"/>
  <c r="H1140" i="1"/>
  <c r="I1140" i="1"/>
  <c r="J1140" i="1"/>
  <c r="L1140" i="1"/>
  <c r="M1140" i="1"/>
  <c r="V1140" i="1"/>
  <c r="AE1140" i="1"/>
  <c r="C1141" i="1"/>
  <c r="E1141" i="1"/>
  <c r="F1141" i="1"/>
  <c r="H1141" i="1"/>
  <c r="I1141" i="1"/>
  <c r="J1141" i="1"/>
  <c r="L1141" i="1"/>
  <c r="M1141" i="1"/>
  <c r="V1141" i="1"/>
  <c r="AE1141" i="1"/>
  <c r="C1142" i="1"/>
  <c r="E1142" i="1"/>
  <c r="F1142" i="1"/>
  <c r="H1142" i="1"/>
  <c r="I1142" i="1"/>
  <c r="J1142" i="1"/>
  <c r="L1142" i="1"/>
  <c r="M1142" i="1"/>
  <c r="V1142" i="1"/>
  <c r="AE1142" i="1"/>
  <c r="C1143" i="1"/>
  <c r="E1143" i="1"/>
  <c r="F1143" i="1"/>
  <c r="H1143" i="1"/>
  <c r="I1143" i="1"/>
  <c r="J1143" i="1"/>
  <c r="L1143" i="1"/>
  <c r="M1143" i="1"/>
  <c r="V1143" i="1"/>
  <c r="AE1143" i="1"/>
  <c r="C1144" i="1"/>
  <c r="E1144" i="1"/>
  <c r="F1144" i="1"/>
  <c r="H1144" i="1"/>
  <c r="I1144" i="1"/>
  <c r="J1144" i="1"/>
  <c r="L1144" i="1"/>
  <c r="M1144" i="1"/>
  <c r="V1144" i="1"/>
  <c r="AE1144" i="1"/>
  <c r="C1145" i="1"/>
  <c r="E1145" i="1"/>
  <c r="F1145" i="1"/>
  <c r="H1145" i="1"/>
  <c r="I1145" i="1"/>
  <c r="J1145" i="1"/>
  <c r="L1145" i="1"/>
  <c r="M1145" i="1"/>
  <c r="V1145" i="1"/>
  <c r="AE1145" i="1"/>
  <c r="C1146" i="1"/>
  <c r="E1146" i="1"/>
  <c r="F1146" i="1"/>
  <c r="H1146" i="1"/>
  <c r="I1146" i="1"/>
  <c r="J1146" i="1"/>
  <c r="L1146" i="1"/>
  <c r="M1146" i="1"/>
  <c r="V1146" i="1"/>
  <c r="AE1146" i="1"/>
  <c r="C1147" i="1"/>
  <c r="E1147" i="1"/>
  <c r="F1147" i="1"/>
  <c r="H1147" i="1"/>
  <c r="I1147" i="1"/>
  <c r="J1147" i="1"/>
  <c r="L1147" i="1"/>
  <c r="M1147" i="1"/>
  <c r="V1147" i="1"/>
  <c r="AE1147" i="1"/>
  <c r="C1148" i="1"/>
  <c r="E1148" i="1"/>
  <c r="F1148" i="1"/>
  <c r="H1148" i="1"/>
  <c r="I1148" i="1"/>
  <c r="J1148" i="1"/>
  <c r="L1148" i="1"/>
  <c r="M1148" i="1"/>
  <c r="V1148" i="1"/>
  <c r="AE1148" i="1"/>
  <c r="C1149" i="1"/>
  <c r="E1149" i="1"/>
  <c r="F1149" i="1"/>
  <c r="H1149" i="1"/>
  <c r="I1149" i="1"/>
  <c r="J1149" i="1"/>
  <c r="L1149" i="1"/>
  <c r="M1149" i="1"/>
  <c r="V1149" i="1"/>
  <c r="AE1149" i="1"/>
  <c r="C1150" i="1"/>
  <c r="E1150" i="1"/>
  <c r="F1150" i="1"/>
  <c r="H1150" i="1"/>
  <c r="I1150" i="1"/>
  <c r="J1150" i="1"/>
  <c r="L1150" i="1"/>
  <c r="M1150" i="1"/>
  <c r="V1150" i="1"/>
  <c r="AE1150" i="1"/>
  <c r="C1151" i="1"/>
  <c r="E1151" i="1"/>
  <c r="F1151" i="1"/>
  <c r="H1151" i="1"/>
  <c r="I1151" i="1"/>
  <c r="J1151" i="1"/>
  <c r="L1151" i="1"/>
  <c r="M1151" i="1"/>
  <c r="V1151" i="1"/>
  <c r="AE1151" i="1"/>
  <c r="C1152" i="1"/>
  <c r="E1152" i="1"/>
  <c r="F1152" i="1"/>
  <c r="H1152" i="1"/>
  <c r="I1152" i="1"/>
  <c r="J1152" i="1"/>
  <c r="L1152" i="1"/>
  <c r="M1152" i="1"/>
  <c r="V1152" i="1"/>
  <c r="AE1152" i="1"/>
  <c r="C1153" i="1"/>
  <c r="E1153" i="1"/>
  <c r="F1153" i="1"/>
  <c r="H1153" i="1"/>
  <c r="I1153" i="1"/>
  <c r="J1153" i="1"/>
  <c r="L1153" i="1"/>
  <c r="M1153" i="1"/>
  <c r="V1153" i="1"/>
  <c r="AE1153" i="1"/>
  <c r="C1154" i="1"/>
  <c r="E1154" i="1"/>
  <c r="F1154" i="1"/>
  <c r="H1154" i="1"/>
  <c r="I1154" i="1"/>
  <c r="J1154" i="1"/>
  <c r="L1154" i="1"/>
  <c r="M1154" i="1"/>
  <c r="V1154" i="1"/>
  <c r="AE1154" i="1"/>
  <c r="C1155" i="1"/>
  <c r="E1155" i="1"/>
  <c r="F1155" i="1"/>
  <c r="H1155" i="1"/>
  <c r="I1155" i="1"/>
  <c r="J1155" i="1"/>
  <c r="L1155" i="1"/>
  <c r="M1155" i="1"/>
  <c r="V1155" i="1"/>
  <c r="AE1155" i="1"/>
  <c r="C1156" i="1"/>
  <c r="E1156" i="1"/>
  <c r="F1156" i="1"/>
  <c r="H1156" i="1"/>
  <c r="I1156" i="1"/>
  <c r="J1156" i="1"/>
  <c r="L1156" i="1"/>
  <c r="M1156" i="1"/>
  <c r="V1156" i="1"/>
  <c r="AE1156" i="1"/>
  <c r="C1157" i="1"/>
  <c r="E1157" i="1"/>
  <c r="F1157" i="1"/>
  <c r="H1157" i="1"/>
  <c r="I1157" i="1"/>
  <c r="J1157" i="1"/>
  <c r="L1157" i="1"/>
  <c r="M1157" i="1"/>
  <c r="V1157" i="1"/>
  <c r="AE1157" i="1"/>
  <c r="C1158" i="1"/>
  <c r="E1158" i="1"/>
  <c r="F1158" i="1"/>
  <c r="H1158" i="1"/>
  <c r="I1158" i="1"/>
  <c r="J1158" i="1"/>
  <c r="L1158" i="1"/>
  <c r="M1158" i="1"/>
  <c r="V1158" i="1"/>
  <c r="AE1158" i="1"/>
  <c r="C1159" i="1"/>
  <c r="E1159" i="1"/>
  <c r="F1159" i="1"/>
  <c r="H1159" i="1"/>
  <c r="I1159" i="1"/>
  <c r="J1159" i="1"/>
  <c r="L1159" i="1"/>
  <c r="M1159" i="1"/>
  <c r="V1159" i="1"/>
  <c r="AE1159" i="1"/>
  <c r="C1160" i="1"/>
  <c r="E1160" i="1"/>
  <c r="F1160" i="1"/>
  <c r="H1160" i="1"/>
  <c r="I1160" i="1"/>
  <c r="J1160" i="1"/>
  <c r="L1160" i="1"/>
  <c r="M1160" i="1"/>
  <c r="V1160" i="1"/>
  <c r="AE1160" i="1"/>
  <c r="C1161" i="1"/>
  <c r="E1161" i="1"/>
  <c r="F1161" i="1"/>
  <c r="H1161" i="1"/>
  <c r="I1161" i="1"/>
  <c r="J1161" i="1"/>
  <c r="L1161" i="1"/>
  <c r="M1161" i="1"/>
  <c r="V1161" i="1"/>
  <c r="AE1161" i="1"/>
  <c r="C1162" i="1"/>
  <c r="E1162" i="1"/>
  <c r="F1162" i="1"/>
  <c r="H1162" i="1"/>
  <c r="I1162" i="1"/>
  <c r="J1162" i="1"/>
  <c r="L1162" i="1"/>
  <c r="M1162" i="1"/>
  <c r="V1162" i="1"/>
  <c r="AE1162" i="1"/>
  <c r="C1163" i="1"/>
  <c r="E1163" i="1"/>
  <c r="F1163" i="1"/>
  <c r="H1163" i="1"/>
  <c r="I1163" i="1"/>
  <c r="J1163" i="1"/>
  <c r="L1163" i="1"/>
  <c r="M1163" i="1"/>
  <c r="V1163" i="1"/>
  <c r="AE1163" i="1"/>
  <c r="C1164" i="1"/>
  <c r="E1164" i="1"/>
  <c r="F1164" i="1"/>
  <c r="H1164" i="1"/>
  <c r="I1164" i="1"/>
  <c r="J1164" i="1"/>
  <c r="L1164" i="1"/>
  <c r="M1164" i="1"/>
  <c r="V1164" i="1"/>
  <c r="AE1164" i="1"/>
  <c r="C1165" i="1"/>
  <c r="E1165" i="1"/>
  <c r="F1165" i="1"/>
  <c r="H1165" i="1"/>
  <c r="I1165" i="1"/>
  <c r="J1165" i="1"/>
  <c r="L1165" i="1"/>
  <c r="M1165" i="1"/>
  <c r="V1165" i="1"/>
  <c r="AE1165" i="1"/>
  <c r="C1166" i="1"/>
  <c r="E1166" i="1"/>
  <c r="F1166" i="1"/>
  <c r="H1166" i="1"/>
  <c r="I1166" i="1"/>
  <c r="J1166" i="1"/>
  <c r="L1166" i="1"/>
  <c r="M1166" i="1"/>
  <c r="V1166" i="1"/>
  <c r="AE1166" i="1"/>
  <c r="C1167" i="1"/>
  <c r="E1167" i="1"/>
  <c r="F1167" i="1"/>
  <c r="H1167" i="1"/>
  <c r="I1167" i="1"/>
  <c r="J1167" i="1"/>
  <c r="L1167" i="1"/>
  <c r="M1167" i="1"/>
  <c r="V1167" i="1"/>
  <c r="AE1167" i="1"/>
  <c r="C1168" i="1"/>
  <c r="E1168" i="1"/>
  <c r="F1168" i="1"/>
  <c r="H1168" i="1"/>
  <c r="I1168" i="1"/>
  <c r="J1168" i="1"/>
  <c r="L1168" i="1"/>
  <c r="M1168" i="1"/>
  <c r="V1168" i="1"/>
  <c r="AE1168" i="1"/>
  <c r="C1169" i="1"/>
  <c r="E1169" i="1"/>
  <c r="F1169" i="1"/>
  <c r="H1169" i="1"/>
  <c r="I1169" i="1"/>
  <c r="J1169" i="1"/>
  <c r="L1169" i="1"/>
  <c r="M1169" i="1"/>
  <c r="V1169" i="1"/>
  <c r="AE1169" i="1"/>
  <c r="C1170" i="1"/>
  <c r="E1170" i="1"/>
  <c r="F1170" i="1"/>
  <c r="H1170" i="1"/>
  <c r="I1170" i="1"/>
  <c r="J1170" i="1"/>
  <c r="L1170" i="1"/>
  <c r="M1170" i="1"/>
  <c r="V1170" i="1"/>
  <c r="AE1170" i="1"/>
  <c r="C1171" i="1"/>
  <c r="E1171" i="1"/>
  <c r="F1171" i="1"/>
  <c r="H1171" i="1"/>
  <c r="I1171" i="1"/>
  <c r="J1171" i="1"/>
  <c r="L1171" i="1"/>
  <c r="M1171" i="1"/>
  <c r="V1171" i="1"/>
  <c r="AE1171" i="1"/>
  <c r="C1172" i="1"/>
  <c r="E1172" i="1"/>
  <c r="F1172" i="1"/>
  <c r="H1172" i="1"/>
  <c r="I1172" i="1"/>
  <c r="J1172" i="1"/>
  <c r="L1172" i="1"/>
  <c r="M1172" i="1"/>
  <c r="V1172" i="1"/>
  <c r="AE1172" i="1"/>
  <c r="C1173" i="1"/>
  <c r="E1173" i="1"/>
  <c r="F1173" i="1"/>
  <c r="H1173" i="1"/>
  <c r="I1173" i="1"/>
  <c r="J1173" i="1"/>
  <c r="L1173" i="1"/>
  <c r="M1173" i="1"/>
  <c r="V1173" i="1"/>
  <c r="AE1173" i="1"/>
  <c r="C1174" i="1"/>
  <c r="E1174" i="1"/>
  <c r="F1174" i="1"/>
  <c r="H1174" i="1"/>
  <c r="I1174" i="1"/>
  <c r="J1174" i="1"/>
  <c r="L1174" i="1"/>
  <c r="M1174" i="1"/>
  <c r="V1174" i="1"/>
  <c r="AE1174" i="1"/>
  <c r="C1175" i="1"/>
  <c r="E1175" i="1"/>
  <c r="F1175" i="1"/>
  <c r="H1175" i="1"/>
  <c r="I1175" i="1"/>
  <c r="J1175" i="1"/>
  <c r="L1175" i="1"/>
  <c r="M1175" i="1"/>
  <c r="V1175" i="1"/>
  <c r="AE1175" i="1"/>
  <c r="C1176" i="1"/>
  <c r="E1176" i="1"/>
  <c r="F1176" i="1"/>
  <c r="H1176" i="1"/>
  <c r="I1176" i="1"/>
  <c r="J1176" i="1"/>
  <c r="L1176" i="1"/>
  <c r="M1176" i="1"/>
  <c r="V1176" i="1"/>
  <c r="AE1176" i="1"/>
  <c r="C1177" i="1"/>
  <c r="E1177" i="1"/>
  <c r="F1177" i="1"/>
  <c r="H1177" i="1"/>
  <c r="I1177" i="1"/>
  <c r="J1177" i="1"/>
  <c r="L1177" i="1"/>
  <c r="M1177" i="1"/>
  <c r="V1177" i="1"/>
  <c r="AE1177" i="1"/>
  <c r="C1178" i="1"/>
  <c r="E1178" i="1"/>
  <c r="F1178" i="1"/>
  <c r="H1178" i="1"/>
  <c r="I1178" i="1"/>
  <c r="J1178" i="1"/>
  <c r="L1178" i="1"/>
  <c r="M1178" i="1"/>
  <c r="V1178" i="1"/>
  <c r="AE1178" i="1"/>
  <c r="C1179" i="1"/>
  <c r="E1179" i="1"/>
  <c r="F1179" i="1"/>
  <c r="H1179" i="1"/>
  <c r="I1179" i="1"/>
  <c r="J1179" i="1"/>
  <c r="L1179" i="1"/>
  <c r="M1179" i="1"/>
  <c r="V1179" i="1"/>
  <c r="AE1179" i="1"/>
  <c r="C1180" i="1"/>
  <c r="E1180" i="1"/>
  <c r="F1180" i="1"/>
  <c r="H1180" i="1"/>
  <c r="I1180" i="1"/>
  <c r="J1180" i="1"/>
  <c r="L1180" i="1"/>
  <c r="M1180" i="1"/>
  <c r="V1180" i="1"/>
  <c r="AE1180" i="1"/>
  <c r="C1181" i="1"/>
  <c r="E1181" i="1"/>
  <c r="F1181" i="1"/>
  <c r="H1181" i="1"/>
  <c r="I1181" i="1"/>
  <c r="J1181" i="1"/>
  <c r="L1181" i="1"/>
  <c r="M1181" i="1"/>
  <c r="V1181" i="1"/>
  <c r="AE1181" i="1"/>
  <c r="C1182" i="1"/>
  <c r="E1182" i="1"/>
  <c r="F1182" i="1"/>
  <c r="H1182" i="1"/>
  <c r="I1182" i="1"/>
  <c r="J1182" i="1"/>
  <c r="L1182" i="1"/>
  <c r="M1182" i="1"/>
  <c r="V1182" i="1"/>
  <c r="AE1182" i="1"/>
  <c r="C1183" i="1"/>
  <c r="E1183" i="1"/>
  <c r="F1183" i="1"/>
  <c r="H1183" i="1"/>
  <c r="I1183" i="1"/>
  <c r="J1183" i="1"/>
  <c r="L1183" i="1"/>
  <c r="M1183" i="1"/>
  <c r="V1183" i="1"/>
  <c r="AE1183" i="1"/>
  <c r="C1184" i="1"/>
  <c r="E1184" i="1"/>
  <c r="F1184" i="1"/>
  <c r="H1184" i="1"/>
  <c r="I1184" i="1"/>
  <c r="J1184" i="1"/>
  <c r="L1184" i="1"/>
  <c r="M1184" i="1"/>
  <c r="V1184" i="1"/>
  <c r="AE1184" i="1"/>
  <c r="C1185" i="1"/>
  <c r="E1185" i="1"/>
  <c r="F1185" i="1"/>
  <c r="H1185" i="1"/>
  <c r="I1185" i="1"/>
  <c r="J1185" i="1"/>
  <c r="L1185" i="1"/>
  <c r="M1185" i="1"/>
  <c r="V1185" i="1"/>
  <c r="AE1185" i="1"/>
  <c r="C1186" i="1"/>
  <c r="E1186" i="1"/>
  <c r="F1186" i="1"/>
  <c r="H1186" i="1"/>
  <c r="I1186" i="1"/>
  <c r="J1186" i="1"/>
  <c r="L1186" i="1"/>
  <c r="M1186" i="1"/>
  <c r="V1186" i="1"/>
  <c r="AE1186" i="1"/>
  <c r="C1187" i="1"/>
  <c r="E1187" i="1"/>
  <c r="F1187" i="1"/>
  <c r="H1187" i="1"/>
  <c r="I1187" i="1"/>
  <c r="J1187" i="1"/>
  <c r="L1187" i="1"/>
  <c r="M1187" i="1"/>
  <c r="V1187" i="1"/>
  <c r="AE1187" i="1"/>
  <c r="C1188" i="1"/>
  <c r="E1188" i="1"/>
  <c r="F1188" i="1"/>
  <c r="H1188" i="1"/>
  <c r="I1188" i="1"/>
  <c r="J1188" i="1"/>
  <c r="L1188" i="1"/>
  <c r="M1188" i="1"/>
  <c r="V1188" i="1"/>
  <c r="AE1188" i="1"/>
  <c r="C1189" i="1"/>
  <c r="E1189" i="1"/>
  <c r="F1189" i="1"/>
  <c r="H1189" i="1"/>
  <c r="I1189" i="1"/>
  <c r="J1189" i="1"/>
  <c r="L1189" i="1"/>
  <c r="M1189" i="1"/>
  <c r="V1189" i="1"/>
  <c r="AE1189" i="1"/>
  <c r="C1190" i="1"/>
  <c r="E1190" i="1"/>
  <c r="F1190" i="1"/>
  <c r="H1190" i="1"/>
  <c r="I1190" i="1"/>
  <c r="J1190" i="1"/>
  <c r="L1190" i="1"/>
  <c r="M1190" i="1"/>
  <c r="V1190" i="1"/>
  <c r="AE1190" i="1"/>
  <c r="C1191" i="1"/>
  <c r="E1191" i="1"/>
  <c r="F1191" i="1"/>
  <c r="H1191" i="1"/>
  <c r="I1191" i="1"/>
  <c r="J1191" i="1"/>
  <c r="L1191" i="1"/>
  <c r="M1191" i="1"/>
  <c r="V1191" i="1"/>
  <c r="AE1191" i="1"/>
  <c r="C1192" i="1"/>
  <c r="E1192" i="1"/>
  <c r="F1192" i="1"/>
  <c r="H1192" i="1"/>
  <c r="I1192" i="1"/>
  <c r="J1192" i="1"/>
  <c r="L1192" i="1"/>
  <c r="M1192" i="1"/>
  <c r="V1192" i="1"/>
  <c r="AE1192" i="1"/>
  <c r="C1193" i="1"/>
  <c r="E1193" i="1"/>
  <c r="F1193" i="1"/>
  <c r="H1193" i="1"/>
  <c r="I1193" i="1"/>
  <c r="J1193" i="1"/>
  <c r="L1193" i="1"/>
  <c r="M1193" i="1"/>
  <c r="V1193" i="1"/>
  <c r="AE1193" i="1"/>
  <c r="C1194" i="1"/>
  <c r="E1194" i="1"/>
  <c r="F1194" i="1"/>
  <c r="H1194" i="1"/>
  <c r="I1194" i="1"/>
  <c r="J1194" i="1"/>
  <c r="L1194" i="1"/>
  <c r="M1194" i="1"/>
  <c r="V1194" i="1"/>
  <c r="AE1194" i="1"/>
  <c r="C1195" i="1"/>
  <c r="E1195" i="1"/>
  <c r="F1195" i="1"/>
  <c r="H1195" i="1"/>
  <c r="I1195" i="1"/>
  <c r="J1195" i="1"/>
  <c r="L1195" i="1"/>
  <c r="M1195" i="1"/>
  <c r="V1195" i="1"/>
  <c r="AE1195" i="1"/>
  <c r="C1196" i="1"/>
  <c r="E1196" i="1"/>
  <c r="F1196" i="1"/>
  <c r="H1196" i="1"/>
  <c r="I1196" i="1"/>
  <c r="J1196" i="1"/>
  <c r="L1196" i="1"/>
  <c r="M1196" i="1"/>
  <c r="V1196" i="1"/>
  <c r="AE1196" i="1"/>
  <c r="C1197" i="1"/>
  <c r="E1197" i="1"/>
  <c r="F1197" i="1"/>
  <c r="H1197" i="1"/>
  <c r="I1197" i="1"/>
  <c r="J1197" i="1"/>
  <c r="L1197" i="1"/>
  <c r="M1197" i="1"/>
  <c r="V1197" i="1"/>
  <c r="AE1197" i="1"/>
  <c r="C1198" i="1"/>
  <c r="E1198" i="1"/>
  <c r="F1198" i="1"/>
  <c r="H1198" i="1"/>
  <c r="I1198" i="1"/>
  <c r="J1198" i="1"/>
  <c r="L1198" i="1"/>
  <c r="M1198" i="1"/>
  <c r="V1198" i="1"/>
  <c r="AE1198" i="1"/>
  <c r="C1199" i="1"/>
  <c r="E1199" i="1"/>
  <c r="F1199" i="1"/>
  <c r="H1199" i="1"/>
  <c r="I1199" i="1"/>
  <c r="J1199" i="1"/>
  <c r="L1199" i="1"/>
  <c r="M1199" i="1"/>
  <c r="V1199" i="1"/>
  <c r="AE1199" i="1"/>
  <c r="C1200" i="1"/>
  <c r="E1200" i="1"/>
  <c r="F1200" i="1"/>
  <c r="H1200" i="1"/>
  <c r="I1200" i="1"/>
  <c r="J1200" i="1"/>
  <c r="L1200" i="1"/>
  <c r="M1200" i="1"/>
  <c r="V1200" i="1"/>
  <c r="AE1200" i="1"/>
  <c r="C1201" i="1"/>
  <c r="E1201" i="1"/>
  <c r="F1201" i="1"/>
  <c r="H1201" i="1"/>
  <c r="I1201" i="1"/>
  <c r="J1201" i="1"/>
  <c r="L1201" i="1"/>
  <c r="M1201" i="1"/>
  <c r="V1201" i="1"/>
  <c r="AE1201" i="1"/>
  <c r="C1202" i="1"/>
  <c r="E1202" i="1"/>
  <c r="F1202" i="1"/>
  <c r="H1202" i="1"/>
  <c r="I1202" i="1"/>
  <c r="J1202" i="1"/>
  <c r="L1202" i="1"/>
  <c r="M1202" i="1"/>
  <c r="V1202" i="1"/>
  <c r="AE1202" i="1"/>
  <c r="C1203" i="1"/>
  <c r="E1203" i="1"/>
  <c r="F1203" i="1"/>
  <c r="H1203" i="1"/>
  <c r="I1203" i="1"/>
  <c r="J1203" i="1"/>
  <c r="L1203" i="1"/>
  <c r="M1203" i="1"/>
  <c r="V1203" i="1"/>
  <c r="AE1203" i="1"/>
  <c r="C1204" i="1"/>
  <c r="E1204" i="1"/>
  <c r="F1204" i="1"/>
  <c r="H1204" i="1"/>
  <c r="I1204" i="1"/>
  <c r="J1204" i="1"/>
  <c r="L1204" i="1"/>
  <c r="M1204" i="1"/>
  <c r="V1204" i="1"/>
  <c r="AE1204" i="1"/>
  <c r="C1205" i="1"/>
  <c r="E1205" i="1"/>
  <c r="F1205" i="1"/>
  <c r="H1205" i="1"/>
  <c r="I1205" i="1"/>
  <c r="J1205" i="1"/>
  <c r="L1205" i="1"/>
  <c r="M1205" i="1"/>
  <c r="V1205" i="1"/>
  <c r="AE1205" i="1"/>
  <c r="C1206" i="1"/>
  <c r="E1206" i="1"/>
  <c r="F1206" i="1"/>
  <c r="H1206" i="1"/>
  <c r="I1206" i="1"/>
  <c r="J1206" i="1"/>
  <c r="L1206" i="1"/>
  <c r="M1206" i="1"/>
  <c r="V1206" i="1"/>
  <c r="AE1206" i="1"/>
  <c r="C1207" i="1"/>
  <c r="E1207" i="1"/>
  <c r="F1207" i="1"/>
  <c r="H1207" i="1"/>
  <c r="I1207" i="1"/>
  <c r="J1207" i="1"/>
  <c r="L1207" i="1"/>
  <c r="M1207" i="1"/>
  <c r="V1207" i="1"/>
  <c r="AE1207" i="1"/>
  <c r="C1208" i="1"/>
  <c r="E1208" i="1"/>
  <c r="F1208" i="1"/>
  <c r="H1208" i="1"/>
  <c r="I1208" i="1"/>
  <c r="J1208" i="1"/>
  <c r="L1208" i="1"/>
  <c r="M1208" i="1"/>
  <c r="V1208" i="1"/>
  <c r="AE1208" i="1"/>
  <c r="C1209" i="1"/>
  <c r="E1209" i="1"/>
  <c r="F1209" i="1"/>
  <c r="H1209" i="1"/>
  <c r="I1209" i="1"/>
  <c r="J1209" i="1"/>
  <c r="L1209" i="1"/>
  <c r="M1209" i="1"/>
  <c r="V1209" i="1"/>
  <c r="AE1209" i="1"/>
  <c r="C1210" i="1"/>
  <c r="E1210" i="1"/>
  <c r="F1210" i="1"/>
  <c r="H1210" i="1"/>
  <c r="I1210" i="1"/>
  <c r="J1210" i="1"/>
  <c r="L1210" i="1"/>
  <c r="M1210" i="1"/>
  <c r="V1210" i="1"/>
  <c r="AE1210" i="1"/>
  <c r="C1211" i="1"/>
  <c r="E1211" i="1"/>
  <c r="F1211" i="1"/>
  <c r="H1211" i="1"/>
  <c r="I1211" i="1"/>
  <c r="J1211" i="1"/>
  <c r="L1211" i="1"/>
  <c r="M1211" i="1"/>
  <c r="V1211" i="1"/>
  <c r="AE1211" i="1"/>
  <c r="C1212" i="1"/>
  <c r="E1212" i="1"/>
  <c r="F1212" i="1"/>
  <c r="H1212" i="1"/>
  <c r="I1212" i="1"/>
  <c r="J1212" i="1"/>
  <c r="L1212" i="1"/>
  <c r="M1212" i="1"/>
  <c r="V1212" i="1"/>
  <c r="AE1212" i="1"/>
  <c r="C1213" i="1"/>
  <c r="E1213" i="1"/>
  <c r="F1213" i="1"/>
  <c r="H1213" i="1"/>
  <c r="I1213" i="1"/>
  <c r="J1213" i="1"/>
  <c r="L1213" i="1"/>
  <c r="M1213" i="1"/>
  <c r="V1213" i="1"/>
  <c r="AE1213" i="1"/>
  <c r="C1214" i="1"/>
  <c r="E1214" i="1"/>
  <c r="F1214" i="1"/>
  <c r="H1214" i="1"/>
  <c r="I1214" i="1"/>
  <c r="J1214" i="1"/>
  <c r="L1214" i="1"/>
  <c r="M1214" i="1"/>
  <c r="V1214" i="1"/>
  <c r="AE1214" i="1"/>
  <c r="C1215" i="1"/>
  <c r="E1215" i="1"/>
  <c r="F1215" i="1"/>
  <c r="H1215" i="1"/>
  <c r="I1215" i="1"/>
  <c r="J1215" i="1"/>
  <c r="L1215" i="1"/>
  <c r="M1215" i="1"/>
  <c r="V1215" i="1"/>
  <c r="AE1215" i="1"/>
  <c r="C1216" i="1"/>
  <c r="E1216" i="1"/>
  <c r="F1216" i="1"/>
  <c r="H1216" i="1"/>
  <c r="I1216" i="1"/>
  <c r="J1216" i="1"/>
  <c r="L1216" i="1"/>
  <c r="M1216" i="1"/>
  <c r="V1216" i="1"/>
  <c r="AE1216" i="1"/>
  <c r="C1217" i="1"/>
  <c r="E1217" i="1"/>
  <c r="F1217" i="1"/>
  <c r="H1217" i="1"/>
  <c r="I1217" i="1"/>
  <c r="J1217" i="1"/>
  <c r="L1217" i="1"/>
  <c r="M1217" i="1"/>
  <c r="V1217" i="1"/>
  <c r="AE1217" i="1"/>
  <c r="C1218" i="1"/>
  <c r="E1218" i="1"/>
  <c r="F1218" i="1"/>
  <c r="H1218" i="1"/>
  <c r="I1218" i="1"/>
  <c r="J1218" i="1"/>
  <c r="L1218" i="1"/>
  <c r="M1218" i="1"/>
  <c r="V1218" i="1"/>
  <c r="AE1218" i="1"/>
  <c r="C1219" i="1"/>
  <c r="E1219" i="1"/>
  <c r="F1219" i="1"/>
  <c r="H1219" i="1"/>
  <c r="I1219" i="1"/>
  <c r="J1219" i="1"/>
  <c r="L1219" i="1"/>
  <c r="M1219" i="1"/>
  <c r="V1219" i="1"/>
  <c r="AE1219" i="1"/>
  <c r="C1220" i="1"/>
  <c r="E1220" i="1"/>
  <c r="F1220" i="1"/>
  <c r="H1220" i="1"/>
  <c r="I1220" i="1"/>
  <c r="J1220" i="1"/>
  <c r="L1220" i="1"/>
  <c r="M1220" i="1"/>
  <c r="V1220" i="1"/>
  <c r="AE1220" i="1"/>
  <c r="C1221" i="1"/>
  <c r="E1221" i="1"/>
  <c r="F1221" i="1"/>
  <c r="H1221" i="1"/>
  <c r="I1221" i="1"/>
  <c r="J1221" i="1"/>
  <c r="L1221" i="1"/>
  <c r="M1221" i="1"/>
  <c r="V1221" i="1"/>
  <c r="AE1221" i="1"/>
  <c r="C1222" i="1"/>
  <c r="E1222" i="1"/>
  <c r="F1222" i="1"/>
  <c r="H1222" i="1"/>
  <c r="I1222" i="1"/>
  <c r="J1222" i="1"/>
  <c r="L1222" i="1"/>
  <c r="M1222" i="1"/>
  <c r="V1222" i="1"/>
  <c r="AE1222" i="1"/>
  <c r="C1223" i="1"/>
  <c r="E1223" i="1"/>
  <c r="F1223" i="1"/>
  <c r="H1223" i="1"/>
  <c r="I1223" i="1"/>
  <c r="J1223" i="1"/>
  <c r="L1223" i="1"/>
  <c r="M1223" i="1"/>
  <c r="V1223" i="1"/>
  <c r="AE1223" i="1"/>
  <c r="C1224" i="1"/>
  <c r="E1224" i="1"/>
  <c r="F1224" i="1"/>
  <c r="H1224" i="1"/>
  <c r="I1224" i="1"/>
  <c r="J1224" i="1"/>
  <c r="L1224" i="1"/>
  <c r="M1224" i="1"/>
  <c r="V1224" i="1"/>
  <c r="AE1224" i="1"/>
  <c r="C1225" i="1"/>
  <c r="E1225" i="1"/>
  <c r="F1225" i="1"/>
  <c r="H1225" i="1"/>
  <c r="I1225" i="1"/>
  <c r="J1225" i="1"/>
  <c r="L1225" i="1"/>
  <c r="M1225" i="1"/>
  <c r="V1225" i="1"/>
  <c r="AE1225" i="1"/>
  <c r="C1226" i="1"/>
  <c r="E1226" i="1"/>
  <c r="F1226" i="1"/>
  <c r="H1226" i="1"/>
  <c r="I1226" i="1"/>
  <c r="J1226" i="1"/>
  <c r="L1226" i="1"/>
  <c r="M1226" i="1"/>
  <c r="V1226" i="1"/>
  <c r="AE1226" i="1"/>
  <c r="C1227" i="1"/>
  <c r="E1227" i="1"/>
  <c r="F1227" i="1"/>
  <c r="H1227" i="1"/>
  <c r="I1227" i="1"/>
  <c r="J1227" i="1"/>
  <c r="L1227" i="1"/>
  <c r="M1227" i="1"/>
  <c r="V1227" i="1"/>
  <c r="AE1227" i="1"/>
  <c r="C1228" i="1"/>
  <c r="E1228" i="1"/>
  <c r="F1228" i="1"/>
  <c r="H1228" i="1"/>
  <c r="I1228" i="1"/>
  <c r="J1228" i="1"/>
  <c r="L1228" i="1"/>
  <c r="M1228" i="1"/>
  <c r="V1228" i="1"/>
  <c r="AE1228" i="1"/>
  <c r="C1229" i="1"/>
  <c r="E1229" i="1"/>
  <c r="F1229" i="1"/>
  <c r="H1229" i="1"/>
  <c r="I1229" i="1"/>
  <c r="J1229" i="1"/>
  <c r="L1229" i="1"/>
  <c r="M1229" i="1"/>
  <c r="V1229" i="1"/>
  <c r="AE1229" i="1"/>
  <c r="C1230" i="1"/>
  <c r="E1230" i="1"/>
  <c r="F1230" i="1"/>
  <c r="H1230" i="1"/>
  <c r="I1230" i="1"/>
  <c r="J1230" i="1"/>
  <c r="L1230" i="1"/>
  <c r="M1230" i="1"/>
  <c r="V1230" i="1"/>
  <c r="AE1230" i="1"/>
  <c r="C1231" i="1"/>
  <c r="E1231" i="1"/>
  <c r="F1231" i="1"/>
  <c r="H1231" i="1"/>
  <c r="I1231" i="1"/>
  <c r="J1231" i="1"/>
  <c r="L1231" i="1"/>
  <c r="M1231" i="1"/>
  <c r="V1231" i="1"/>
  <c r="AE1231" i="1"/>
  <c r="C1232" i="1"/>
  <c r="E1232" i="1"/>
  <c r="F1232" i="1"/>
  <c r="H1232" i="1"/>
  <c r="I1232" i="1"/>
  <c r="J1232" i="1"/>
  <c r="L1232" i="1"/>
  <c r="M1232" i="1"/>
  <c r="V1232" i="1"/>
  <c r="AE1232" i="1"/>
  <c r="C1233" i="1"/>
  <c r="E1233" i="1"/>
  <c r="F1233" i="1"/>
  <c r="H1233" i="1"/>
  <c r="I1233" i="1"/>
  <c r="J1233" i="1"/>
  <c r="L1233" i="1"/>
  <c r="M1233" i="1"/>
  <c r="V1233" i="1"/>
  <c r="AE1233" i="1"/>
  <c r="C1234" i="1"/>
  <c r="E1234" i="1"/>
  <c r="F1234" i="1"/>
  <c r="H1234" i="1"/>
  <c r="I1234" i="1"/>
  <c r="J1234" i="1"/>
  <c r="L1234" i="1"/>
  <c r="M1234" i="1"/>
  <c r="V1234" i="1"/>
  <c r="AE1234" i="1"/>
  <c r="C1235" i="1"/>
  <c r="E1235" i="1"/>
  <c r="F1235" i="1"/>
  <c r="H1235" i="1"/>
  <c r="I1235" i="1"/>
  <c r="J1235" i="1"/>
  <c r="L1235" i="1"/>
  <c r="M1235" i="1"/>
  <c r="V1235" i="1"/>
  <c r="AE1235" i="1"/>
  <c r="C1236" i="1"/>
  <c r="E1236" i="1"/>
  <c r="F1236" i="1"/>
  <c r="H1236" i="1"/>
  <c r="I1236" i="1"/>
  <c r="J1236" i="1"/>
  <c r="L1236" i="1"/>
  <c r="M1236" i="1"/>
  <c r="V1236" i="1"/>
  <c r="AE1236" i="1"/>
  <c r="C1237" i="1"/>
  <c r="E1237" i="1"/>
  <c r="F1237" i="1"/>
  <c r="H1237" i="1"/>
  <c r="I1237" i="1"/>
  <c r="J1237" i="1"/>
  <c r="L1237" i="1"/>
  <c r="M1237" i="1"/>
  <c r="V1237" i="1"/>
  <c r="AE1237" i="1"/>
  <c r="C1238" i="1"/>
  <c r="E1238" i="1"/>
  <c r="F1238" i="1"/>
  <c r="H1238" i="1"/>
  <c r="I1238" i="1"/>
  <c r="J1238" i="1"/>
  <c r="L1238" i="1"/>
  <c r="M1238" i="1"/>
  <c r="V1238" i="1"/>
  <c r="AE1238" i="1"/>
  <c r="C1239" i="1"/>
  <c r="E1239" i="1"/>
  <c r="F1239" i="1"/>
  <c r="H1239" i="1"/>
  <c r="I1239" i="1"/>
  <c r="J1239" i="1"/>
  <c r="L1239" i="1"/>
  <c r="M1239" i="1"/>
  <c r="V1239" i="1"/>
  <c r="AE1239" i="1"/>
  <c r="C1240" i="1"/>
  <c r="E1240" i="1"/>
  <c r="F1240" i="1"/>
  <c r="H1240" i="1"/>
  <c r="I1240" i="1"/>
  <c r="J1240" i="1"/>
  <c r="L1240" i="1"/>
  <c r="M1240" i="1"/>
  <c r="V1240" i="1"/>
  <c r="AE1240" i="1"/>
  <c r="C1241" i="1"/>
  <c r="E1241" i="1"/>
  <c r="F1241" i="1"/>
  <c r="H1241" i="1"/>
  <c r="I1241" i="1"/>
  <c r="J1241" i="1"/>
  <c r="L1241" i="1"/>
  <c r="M1241" i="1"/>
  <c r="V1241" i="1"/>
  <c r="AE1241" i="1"/>
  <c r="C1242" i="1"/>
  <c r="E1242" i="1"/>
  <c r="F1242" i="1"/>
  <c r="H1242" i="1"/>
  <c r="I1242" i="1"/>
  <c r="J1242" i="1"/>
  <c r="L1242" i="1"/>
  <c r="M1242" i="1"/>
  <c r="V1242" i="1"/>
  <c r="AE1242" i="1"/>
  <c r="C1243" i="1"/>
  <c r="E1243" i="1"/>
  <c r="F1243" i="1"/>
  <c r="H1243" i="1"/>
  <c r="I1243" i="1"/>
  <c r="J1243" i="1"/>
  <c r="L1243" i="1"/>
  <c r="M1243" i="1"/>
  <c r="V1243" i="1"/>
  <c r="AE1243" i="1"/>
  <c r="C1244" i="1"/>
  <c r="E1244" i="1"/>
  <c r="F1244" i="1"/>
  <c r="H1244" i="1"/>
  <c r="I1244" i="1"/>
  <c r="J1244" i="1"/>
  <c r="L1244" i="1"/>
  <c r="M1244" i="1"/>
  <c r="V1244" i="1"/>
  <c r="AE1244" i="1"/>
  <c r="C1245" i="1"/>
  <c r="E1245" i="1"/>
  <c r="F1245" i="1"/>
  <c r="H1245" i="1"/>
  <c r="I1245" i="1"/>
  <c r="J1245" i="1"/>
  <c r="L1245" i="1"/>
  <c r="M1245" i="1"/>
  <c r="V1245" i="1"/>
  <c r="AE1245" i="1"/>
  <c r="C1246" i="1"/>
  <c r="E1246" i="1"/>
  <c r="F1246" i="1"/>
  <c r="H1246" i="1"/>
  <c r="I1246" i="1"/>
  <c r="J1246" i="1"/>
  <c r="L1246" i="1"/>
  <c r="M1246" i="1"/>
  <c r="V1246" i="1"/>
  <c r="AE1246" i="1"/>
  <c r="C1247" i="1"/>
  <c r="E1247" i="1"/>
  <c r="F1247" i="1"/>
  <c r="H1247" i="1"/>
  <c r="I1247" i="1"/>
  <c r="J1247" i="1"/>
  <c r="L1247" i="1"/>
  <c r="M1247" i="1"/>
  <c r="V1247" i="1"/>
  <c r="AE1247" i="1"/>
  <c r="C1248" i="1"/>
  <c r="E1248" i="1"/>
  <c r="F1248" i="1"/>
  <c r="H1248" i="1"/>
  <c r="I1248" i="1"/>
  <c r="J1248" i="1"/>
  <c r="L1248" i="1"/>
  <c r="M1248" i="1"/>
  <c r="V1248" i="1"/>
  <c r="AE1248" i="1"/>
  <c r="C1249" i="1"/>
  <c r="E1249" i="1"/>
  <c r="F1249" i="1"/>
  <c r="H1249" i="1"/>
  <c r="I1249" i="1"/>
  <c r="J1249" i="1"/>
  <c r="L1249" i="1"/>
  <c r="M1249" i="1"/>
  <c r="V1249" i="1"/>
  <c r="AE1249" i="1"/>
  <c r="C1250" i="1"/>
  <c r="E1250" i="1"/>
  <c r="F1250" i="1"/>
  <c r="H1250" i="1"/>
  <c r="I1250" i="1"/>
  <c r="J1250" i="1"/>
  <c r="L1250" i="1"/>
  <c r="M1250" i="1"/>
  <c r="V1250" i="1"/>
  <c r="AE1250" i="1"/>
  <c r="C1251" i="1"/>
  <c r="E1251" i="1"/>
  <c r="F1251" i="1"/>
  <c r="H1251" i="1"/>
  <c r="I1251" i="1"/>
  <c r="J1251" i="1"/>
  <c r="L1251" i="1"/>
  <c r="M1251" i="1"/>
  <c r="V1251" i="1"/>
  <c r="AE1251" i="1"/>
  <c r="C1252" i="1"/>
  <c r="E1252" i="1"/>
  <c r="F1252" i="1"/>
  <c r="H1252" i="1"/>
  <c r="I1252" i="1"/>
  <c r="J1252" i="1"/>
  <c r="L1252" i="1"/>
  <c r="M1252" i="1"/>
  <c r="V1252" i="1"/>
  <c r="AE1252" i="1"/>
  <c r="C1253" i="1"/>
  <c r="E1253" i="1"/>
  <c r="F1253" i="1"/>
  <c r="H1253" i="1"/>
  <c r="I1253" i="1"/>
  <c r="J1253" i="1"/>
  <c r="L1253" i="1"/>
  <c r="M1253" i="1"/>
  <c r="V1253" i="1"/>
  <c r="AE1253" i="1"/>
  <c r="C1254" i="1"/>
  <c r="E1254" i="1"/>
  <c r="F1254" i="1"/>
  <c r="H1254" i="1"/>
  <c r="I1254" i="1"/>
  <c r="J1254" i="1"/>
  <c r="L1254" i="1"/>
  <c r="M1254" i="1"/>
  <c r="V1254" i="1"/>
  <c r="AE1254" i="1"/>
  <c r="C1255" i="1"/>
  <c r="E1255" i="1"/>
  <c r="F1255" i="1"/>
  <c r="H1255" i="1"/>
  <c r="I1255" i="1"/>
  <c r="J1255" i="1"/>
  <c r="L1255" i="1"/>
  <c r="M1255" i="1"/>
  <c r="V1255" i="1"/>
  <c r="AE1255" i="1"/>
  <c r="C1256" i="1"/>
  <c r="E1256" i="1"/>
  <c r="F1256" i="1"/>
  <c r="H1256" i="1"/>
  <c r="I1256" i="1"/>
  <c r="J1256" i="1"/>
  <c r="L1256" i="1"/>
  <c r="M1256" i="1"/>
  <c r="V1256" i="1"/>
  <c r="AE1256" i="1"/>
  <c r="C1257" i="1"/>
  <c r="E1257" i="1"/>
  <c r="F1257" i="1"/>
  <c r="H1257" i="1"/>
  <c r="I1257" i="1"/>
  <c r="J1257" i="1"/>
  <c r="L1257" i="1"/>
  <c r="M1257" i="1"/>
  <c r="V1257" i="1"/>
  <c r="AE1257" i="1"/>
  <c r="C1258" i="1"/>
  <c r="E1258" i="1"/>
  <c r="F1258" i="1"/>
  <c r="H1258" i="1"/>
  <c r="I1258" i="1"/>
  <c r="J1258" i="1"/>
  <c r="L1258" i="1"/>
  <c r="M1258" i="1"/>
  <c r="V1258" i="1"/>
  <c r="AE1258" i="1"/>
  <c r="C1259" i="1"/>
  <c r="E1259" i="1"/>
  <c r="F1259" i="1"/>
  <c r="H1259" i="1"/>
  <c r="I1259" i="1"/>
  <c r="J1259" i="1"/>
  <c r="L1259" i="1"/>
  <c r="M1259" i="1"/>
  <c r="V1259" i="1"/>
  <c r="AE1259" i="1"/>
  <c r="C1260" i="1"/>
  <c r="E1260" i="1"/>
  <c r="F1260" i="1"/>
  <c r="H1260" i="1"/>
  <c r="I1260" i="1"/>
  <c r="J1260" i="1"/>
  <c r="L1260" i="1"/>
  <c r="M1260" i="1"/>
  <c r="V1260" i="1"/>
  <c r="AE1260" i="1"/>
  <c r="C1261" i="1"/>
  <c r="E1261" i="1"/>
  <c r="F1261" i="1"/>
  <c r="H1261" i="1"/>
  <c r="I1261" i="1"/>
  <c r="J1261" i="1"/>
  <c r="L1261" i="1"/>
  <c r="M1261" i="1"/>
  <c r="V1261" i="1"/>
  <c r="AE1261" i="1"/>
  <c r="C1262" i="1"/>
  <c r="E1262" i="1"/>
  <c r="F1262" i="1"/>
  <c r="H1262" i="1"/>
  <c r="I1262" i="1"/>
  <c r="J1262" i="1"/>
  <c r="L1262" i="1"/>
  <c r="M1262" i="1"/>
  <c r="V1262" i="1"/>
  <c r="AE1262" i="1"/>
  <c r="C1263" i="1"/>
  <c r="E1263" i="1"/>
  <c r="F1263" i="1"/>
  <c r="H1263" i="1"/>
  <c r="I1263" i="1"/>
  <c r="J1263" i="1"/>
  <c r="L1263" i="1"/>
  <c r="M1263" i="1"/>
  <c r="V1263" i="1"/>
  <c r="AE1263" i="1"/>
  <c r="C1264" i="1"/>
  <c r="E1264" i="1"/>
  <c r="F1264" i="1"/>
  <c r="H1264" i="1"/>
  <c r="I1264" i="1"/>
  <c r="J1264" i="1"/>
  <c r="L1264" i="1"/>
  <c r="M1264" i="1"/>
  <c r="V1264" i="1"/>
  <c r="AE1264" i="1"/>
  <c r="C1265" i="1"/>
  <c r="E1265" i="1"/>
  <c r="F1265" i="1"/>
  <c r="H1265" i="1"/>
  <c r="I1265" i="1"/>
  <c r="J1265" i="1"/>
  <c r="L1265" i="1"/>
  <c r="M1265" i="1"/>
  <c r="V1265" i="1"/>
  <c r="AE1265" i="1"/>
  <c r="C1266" i="1"/>
  <c r="E1266" i="1"/>
  <c r="F1266" i="1"/>
  <c r="H1266" i="1"/>
  <c r="I1266" i="1"/>
  <c r="J1266" i="1"/>
  <c r="L1266" i="1"/>
  <c r="M1266" i="1"/>
  <c r="V1266" i="1"/>
  <c r="AE1266" i="1"/>
  <c r="C1267" i="1"/>
  <c r="E1267" i="1"/>
  <c r="F1267" i="1"/>
  <c r="H1267" i="1"/>
  <c r="I1267" i="1"/>
  <c r="J1267" i="1"/>
  <c r="L1267" i="1"/>
  <c r="M1267" i="1"/>
  <c r="V1267" i="1"/>
  <c r="AE1267" i="1"/>
  <c r="C1268" i="1"/>
  <c r="E1268" i="1"/>
  <c r="F1268" i="1"/>
  <c r="H1268" i="1"/>
  <c r="I1268" i="1"/>
  <c r="J1268" i="1"/>
  <c r="L1268" i="1"/>
  <c r="M1268" i="1"/>
  <c r="V1268" i="1"/>
  <c r="AE1268" i="1"/>
  <c r="C1269" i="1"/>
  <c r="E1269" i="1"/>
  <c r="F1269" i="1"/>
  <c r="H1269" i="1"/>
  <c r="I1269" i="1"/>
  <c r="J1269" i="1"/>
  <c r="L1269" i="1"/>
  <c r="M1269" i="1"/>
  <c r="V1269" i="1"/>
  <c r="AE1269" i="1"/>
  <c r="C1270" i="1"/>
  <c r="E1270" i="1"/>
  <c r="F1270" i="1"/>
  <c r="H1270" i="1"/>
  <c r="I1270" i="1"/>
  <c r="J1270" i="1"/>
  <c r="L1270" i="1"/>
  <c r="M1270" i="1"/>
  <c r="V1270" i="1"/>
  <c r="AE1270" i="1"/>
  <c r="C1271" i="1"/>
  <c r="E1271" i="1"/>
  <c r="F1271" i="1"/>
  <c r="H1271" i="1"/>
  <c r="I1271" i="1"/>
  <c r="J1271" i="1"/>
  <c r="L1271" i="1"/>
  <c r="M1271" i="1"/>
  <c r="V1271" i="1"/>
  <c r="AE1271" i="1"/>
  <c r="C1272" i="1"/>
  <c r="E1272" i="1"/>
  <c r="F1272" i="1"/>
  <c r="H1272" i="1"/>
  <c r="I1272" i="1"/>
  <c r="J1272" i="1"/>
  <c r="L1272" i="1"/>
  <c r="M1272" i="1"/>
  <c r="V1272" i="1"/>
  <c r="AE1272" i="1"/>
  <c r="C1273" i="1"/>
  <c r="E1273" i="1"/>
  <c r="F1273" i="1"/>
  <c r="H1273" i="1"/>
  <c r="I1273" i="1"/>
  <c r="J1273" i="1"/>
  <c r="L1273" i="1"/>
  <c r="M1273" i="1"/>
  <c r="V1273" i="1"/>
  <c r="AE1273" i="1"/>
  <c r="C1274" i="1"/>
  <c r="E1274" i="1"/>
  <c r="F1274" i="1"/>
  <c r="H1274" i="1"/>
  <c r="I1274" i="1"/>
  <c r="J1274" i="1"/>
  <c r="L1274" i="1"/>
  <c r="M1274" i="1"/>
  <c r="V1274" i="1"/>
  <c r="AE1274" i="1"/>
  <c r="C1275" i="1"/>
  <c r="E1275" i="1"/>
  <c r="F1275" i="1"/>
  <c r="H1275" i="1"/>
  <c r="I1275" i="1"/>
  <c r="J1275" i="1"/>
  <c r="L1275" i="1"/>
  <c r="M1275" i="1"/>
  <c r="V1275" i="1"/>
  <c r="AE1275" i="1"/>
  <c r="C1276" i="1"/>
  <c r="E1276" i="1"/>
  <c r="F1276" i="1"/>
  <c r="H1276" i="1"/>
  <c r="I1276" i="1"/>
  <c r="J1276" i="1"/>
  <c r="L1276" i="1"/>
  <c r="M1276" i="1"/>
  <c r="V1276" i="1"/>
  <c r="AE1276" i="1"/>
  <c r="C1277" i="1"/>
  <c r="E1277" i="1"/>
  <c r="F1277" i="1"/>
  <c r="H1277" i="1"/>
  <c r="I1277" i="1"/>
  <c r="J1277" i="1"/>
  <c r="L1277" i="1"/>
  <c r="M1277" i="1"/>
  <c r="V1277" i="1"/>
  <c r="AE1277" i="1"/>
  <c r="C1278" i="1"/>
  <c r="E1278" i="1"/>
  <c r="F1278" i="1"/>
  <c r="H1278" i="1"/>
  <c r="I1278" i="1"/>
  <c r="J1278" i="1"/>
  <c r="L1278" i="1"/>
  <c r="M1278" i="1"/>
  <c r="V1278" i="1"/>
  <c r="AE1278" i="1"/>
  <c r="C1279" i="1"/>
  <c r="E1279" i="1"/>
  <c r="F1279" i="1"/>
  <c r="H1279" i="1"/>
  <c r="I1279" i="1"/>
  <c r="J1279" i="1"/>
  <c r="L1279" i="1"/>
  <c r="M1279" i="1"/>
  <c r="V1279" i="1"/>
  <c r="AE1279" i="1"/>
  <c r="C1280" i="1"/>
  <c r="E1280" i="1"/>
  <c r="F1280" i="1"/>
  <c r="H1280" i="1"/>
  <c r="I1280" i="1"/>
  <c r="J1280" i="1"/>
  <c r="L1280" i="1"/>
  <c r="M1280" i="1"/>
  <c r="V1280" i="1"/>
  <c r="AE1280" i="1"/>
  <c r="C1281" i="1"/>
  <c r="E1281" i="1"/>
  <c r="F1281" i="1"/>
  <c r="H1281" i="1"/>
  <c r="I1281" i="1"/>
  <c r="J1281" i="1"/>
  <c r="L1281" i="1"/>
  <c r="M1281" i="1"/>
  <c r="V1281" i="1"/>
  <c r="AE1281" i="1"/>
  <c r="C1282" i="1"/>
  <c r="E1282" i="1"/>
  <c r="F1282" i="1"/>
  <c r="H1282" i="1"/>
  <c r="I1282" i="1"/>
  <c r="J1282" i="1"/>
  <c r="L1282" i="1"/>
  <c r="M1282" i="1"/>
  <c r="V1282" i="1"/>
  <c r="AE1282" i="1"/>
  <c r="C1283" i="1"/>
  <c r="E1283" i="1"/>
  <c r="F1283" i="1"/>
  <c r="H1283" i="1"/>
  <c r="I1283" i="1"/>
  <c r="J1283" i="1"/>
  <c r="L1283" i="1"/>
  <c r="M1283" i="1"/>
  <c r="V1283" i="1"/>
  <c r="AE1283" i="1"/>
  <c r="C1284" i="1"/>
  <c r="E1284" i="1"/>
  <c r="F1284" i="1"/>
  <c r="H1284" i="1"/>
  <c r="I1284" i="1"/>
  <c r="J1284" i="1"/>
  <c r="L1284" i="1"/>
  <c r="M1284" i="1"/>
  <c r="V1284" i="1"/>
  <c r="AE1284" i="1"/>
  <c r="C1285" i="1"/>
  <c r="E1285" i="1"/>
  <c r="F1285" i="1"/>
  <c r="H1285" i="1"/>
  <c r="I1285" i="1"/>
  <c r="J1285" i="1"/>
  <c r="L1285" i="1"/>
  <c r="M1285" i="1"/>
  <c r="V1285" i="1"/>
  <c r="AE1285" i="1"/>
  <c r="C1286" i="1"/>
  <c r="E1286" i="1"/>
  <c r="F1286" i="1"/>
  <c r="H1286" i="1"/>
  <c r="I1286" i="1"/>
  <c r="J1286" i="1"/>
  <c r="L1286" i="1"/>
  <c r="M1286" i="1"/>
  <c r="V1286" i="1"/>
  <c r="AE1286" i="1"/>
  <c r="C1287" i="1"/>
  <c r="E1287" i="1"/>
  <c r="F1287" i="1"/>
  <c r="H1287" i="1"/>
  <c r="I1287" i="1"/>
  <c r="J1287" i="1"/>
  <c r="L1287" i="1"/>
  <c r="M1287" i="1"/>
  <c r="V1287" i="1"/>
  <c r="AE1287" i="1"/>
  <c r="C1288" i="1"/>
  <c r="E1288" i="1"/>
  <c r="F1288" i="1"/>
  <c r="H1288" i="1"/>
  <c r="I1288" i="1"/>
  <c r="J1288" i="1"/>
  <c r="L1288" i="1"/>
  <c r="M1288" i="1"/>
  <c r="V1288" i="1"/>
  <c r="AE1288" i="1"/>
  <c r="C1289" i="1"/>
  <c r="E1289" i="1"/>
  <c r="F1289" i="1"/>
  <c r="H1289" i="1"/>
  <c r="I1289" i="1"/>
  <c r="J1289" i="1"/>
  <c r="L1289" i="1"/>
  <c r="M1289" i="1"/>
  <c r="V1289" i="1"/>
  <c r="AE1289" i="1"/>
  <c r="C1290" i="1"/>
  <c r="E1290" i="1"/>
  <c r="F1290" i="1"/>
  <c r="H1290" i="1"/>
  <c r="I1290" i="1"/>
  <c r="J1290" i="1"/>
  <c r="L1290" i="1"/>
  <c r="M1290" i="1"/>
  <c r="V1290" i="1"/>
  <c r="AE1290" i="1"/>
  <c r="C1291" i="1"/>
  <c r="E1291" i="1"/>
  <c r="F1291" i="1"/>
  <c r="H1291" i="1"/>
  <c r="I1291" i="1"/>
  <c r="J1291" i="1"/>
  <c r="L1291" i="1"/>
  <c r="M1291" i="1"/>
  <c r="V1291" i="1"/>
  <c r="AE1291" i="1"/>
  <c r="C1292" i="1"/>
  <c r="E1292" i="1"/>
  <c r="F1292" i="1"/>
  <c r="H1292" i="1"/>
  <c r="I1292" i="1"/>
  <c r="J1292" i="1"/>
  <c r="L1292" i="1"/>
  <c r="M1292" i="1"/>
  <c r="V1292" i="1"/>
  <c r="AE1292" i="1"/>
  <c r="C1293" i="1"/>
  <c r="E1293" i="1"/>
  <c r="F1293" i="1"/>
  <c r="H1293" i="1"/>
  <c r="I1293" i="1"/>
  <c r="J1293" i="1"/>
  <c r="L1293" i="1"/>
  <c r="M1293" i="1"/>
  <c r="V1293" i="1"/>
  <c r="AE1293" i="1"/>
  <c r="C1294" i="1"/>
  <c r="E1294" i="1"/>
  <c r="F1294" i="1"/>
  <c r="H1294" i="1"/>
  <c r="I1294" i="1"/>
  <c r="J1294" i="1"/>
  <c r="L1294" i="1"/>
  <c r="M1294" i="1"/>
  <c r="V1294" i="1"/>
  <c r="AE1294" i="1"/>
  <c r="C1295" i="1"/>
  <c r="E1295" i="1"/>
  <c r="F1295" i="1"/>
  <c r="H1295" i="1"/>
  <c r="I1295" i="1"/>
  <c r="J1295" i="1"/>
  <c r="L1295" i="1"/>
  <c r="M1295" i="1"/>
  <c r="V1295" i="1"/>
  <c r="AE1295" i="1"/>
  <c r="C1296" i="1"/>
  <c r="E1296" i="1"/>
  <c r="F1296" i="1"/>
  <c r="H1296" i="1"/>
  <c r="I1296" i="1"/>
  <c r="J1296" i="1"/>
  <c r="L1296" i="1"/>
  <c r="M1296" i="1"/>
  <c r="V1296" i="1"/>
  <c r="AE1296" i="1"/>
  <c r="C1297" i="1"/>
  <c r="E1297" i="1"/>
  <c r="F1297" i="1"/>
  <c r="H1297" i="1"/>
  <c r="I1297" i="1"/>
  <c r="J1297" i="1"/>
  <c r="L1297" i="1"/>
  <c r="M1297" i="1"/>
  <c r="V1297" i="1"/>
  <c r="AE1297" i="1"/>
  <c r="C1298" i="1"/>
  <c r="E1298" i="1"/>
  <c r="F1298" i="1"/>
  <c r="H1298" i="1"/>
  <c r="I1298" i="1"/>
  <c r="J1298" i="1"/>
  <c r="L1298" i="1"/>
  <c r="M1298" i="1"/>
  <c r="V1298" i="1"/>
  <c r="AE1298" i="1"/>
  <c r="C1299" i="1"/>
  <c r="E1299" i="1"/>
  <c r="F1299" i="1"/>
  <c r="H1299" i="1"/>
  <c r="I1299" i="1"/>
  <c r="J1299" i="1"/>
  <c r="L1299" i="1"/>
  <c r="M1299" i="1"/>
  <c r="V1299" i="1"/>
  <c r="AE1299" i="1"/>
  <c r="C1300" i="1"/>
  <c r="E1300" i="1"/>
  <c r="F1300" i="1"/>
  <c r="H1300" i="1"/>
  <c r="I1300" i="1"/>
  <c r="J1300" i="1"/>
  <c r="L1300" i="1"/>
  <c r="M1300" i="1"/>
  <c r="V1300" i="1"/>
  <c r="AE1300" i="1"/>
  <c r="C1301" i="1"/>
  <c r="E1301" i="1"/>
  <c r="F1301" i="1"/>
  <c r="H1301" i="1"/>
  <c r="I1301" i="1"/>
  <c r="J1301" i="1"/>
  <c r="L1301" i="1"/>
  <c r="M1301" i="1"/>
  <c r="V1301" i="1"/>
  <c r="AE1301" i="1"/>
  <c r="C1302" i="1"/>
  <c r="E1302" i="1"/>
  <c r="F1302" i="1"/>
  <c r="H1302" i="1"/>
  <c r="I1302" i="1"/>
  <c r="J1302" i="1"/>
  <c r="L1302" i="1"/>
  <c r="M1302" i="1"/>
  <c r="V1302" i="1"/>
  <c r="AE1302" i="1"/>
  <c r="C1303" i="1"/>
  <c r="E1303" i="1"/>
  <c r="F1303" i="1"/>
  <c r="H1303" i="1"/>
  <c r="I1303" i="1"/>
  <c r="J1303" i="1"/>
  <c r="L1303" i="1"/>
  <c r="M1303" i="1"/>
  <c r="V1303" i="1"/>
  <c r="AE1303" i="1"/>
  <c r="C1304" i="1"/>
  <c r="E1304" i="1"/>
  <c r="F1304" i="1"/>
  <c r="H1304" i="1"/>
  <c r="I1304" i="1"/>
  <c r="J1304" i="1"/>
  <c r="L1304" i="1"/>
  <c r="M1304" i="1"/>
  <c r="V1304" i="1"/>
  <c r="AE1304" i="1"/>
  <c r="C1305" i="1"/>
  <c r="E1305" i="1"/>
  <c r="F1305" i="1"/>
  <c r="H1305" i="1"/>
  <c r="I1305" i="1"/>
  <c r="J1305" i="1"/>
  <c r="L1305" i="1"/>
  <c r="M1305" i="1"/>
  <c r="V1305" i="1"/>
  <c r="AE1305" i="1"/>
  <c r="C1306" i="1"/>
  <c r="E1306" i="1"/>
  <c r="F1306" i="1"/>
  <c r="H1306" i="1"/>
  <c r="I1306" i="1"/>
  <c r="J1306" i="1"/>
  <c r="L1306" i="1"/>
  <c r="M1306" i="1"/>
  <c r="V1306" i="1"/>
  <c r="AE1306" i="1"/>
  <c r="C1307" i="1"/>
  <c r="E1307" i="1"/>
  <c r="F1307" i="1"/>
  <c r="H1307" i="1"/>
  <c r="I1307" i="1"/>
  <c r="J1307" i="1"/>
  <c r="L1307" i="1"/>
  <c r="M1307" i="1"/>
  <c r="V1307" i="1"/>
  <c r="AE1307" i="1"/>
  <c r="C1308" i="1"/>
  <c r="E1308" i="1"/>
  <c r="F1308" i="1"/>
  <c r="H1308" i="1"/>
  <c r="I1308" i="1"/>
  <c r="J1308" i="1"/>
  <c r="L1308" i="1"/>
  <c r="M1308" i="1"/>
  <c r="V1308" i="1"/>
  <c r="AE1308" i="1"/>
  <c r="C1309" i="1"/>
  <c r="E1309" i="1"/>
  <c r="F1309" i="1"/>
  <c r="H1309" i="1"/>
  <c r="I1309" i="1"/>
  <c r="J1309" i="1"/>
  <c r="L1309" i="1"/>
  <c r="M1309" i="1"/>
  <c r="V1309" i="1"/>
  <c r="AE1309" i="1"/>
  <c r="C1310" i="1"/>
  <c r="E1310" i="1"/>
  <c r="F1310" i="1"/>
  <c r="H1310" i="1"/>
  <c r="I1310" i="1"/>
  <c r="J1310" i="1"/>
  <c r="L1310" i="1"/>
  <c r="M1310" i="1"/>
  <c r="V1310" i="1"/>
  <c r="AE1310" i="1"/>
  <c r="C1311" i="1"/>
  <c r="E1311" i="1"/>
  <c r="F1311" i="1"/>
  <c r="H1311" i="1"/>
  <c r="I1311" i="1"/>
  <c r="J1311" i="1"/>
  <c r="L1311" i="1"/>
  <c r="M1311" i="1"/>
  <c r="V1311" i="1"/>
  <c r="AE1311" i="1"/>
  <c r="C1312" i="1"/>
  <c r="E1312" i="1"/>
  <c r="F1312" i="1"/>
  <c r="H1312" i="1"/>
  <c r="I1312" i="1"/>
  <c r="J1312" i="1"/>
  <c r="L1312" i="1"/>
  <c r="M1312" i="1"/>
  <c r="V1312" i="1"/>
  <c r="AE1312" i="1"/>
  <c r="C1313" i="1"/>
  <c r="E1313" i="1"/>
  <c r="F1313" i="1"/>
  <c r="H1313" i="1"/>
  <c r="I1313" i="1"/>
  <c r="J1313" i="1"/>
  <c r="L1313" i="1"/>
  <c r="M1313" i="1"/>
  <c r="V1313" i="1"/>
  <c r="AE1313" i="1"/>
  <c r="C1314" i="1"/>
  <c r="E1314" i="1"/>
  <c r="F1314" i="1"/>
  <c r="H1314" i="1"/>
  <c r="I1314" i="1"/>
  <c r="J1314" i="1"/>
  <c r="L1314" i="1"/>
  <c r="M1314" i="1"/>
  <c r="V1314" i="1"/>
  <c r="AE1314" i="1"/>
  <c r="C1315" i="1"/>
  <c r="E1315" i="1"/>
  <c r="F1315" i="1"/>
  <c r="H1315" i="1"/>
  <c r="I1315" i="1"/>
  <c r="J1315" i="1"/>
  <c r="L1315" i="1"/>
  <c r="M1315" i="1"/>
  <c r="V1315" i="1"/>
  <c r="AE1315" i="1"/>
  <c r="C1316" i="1"/>
  <c r="E1316" i="1"/>
  <c r="F1316" i="1"/>
  <c r="H1316" i="1"/>
  <c r="I1316" i="1"/>
  <c r="J1316" i="1"/>
  <c r="L1316" i="1"/>
  <c r="M1316" i="1"/>
  <c r="V1316" i="1"/>
  <c r="AE1316" i="1"/>
  <c r="C1317" i="1"/>
  <c r="E1317" i="1"/>
  <c r="F1317" i="1"/>
  <c r="H1317" i="1"/>
  <c r="I1317" i="1"/>
  <c r="J1317" i="1"/>
  <c r="L1317" i="1"/>
  <c r="M1317" i="1"/>
  <c r="V1317" i="1"/>
  <c r="AE1317" i="1"/>
  <c r="C1318" i="1"/>
  <c r="E1318" i="1"/>
  <c r="F1318" i="1"/>
  <c r="H1318" i="1"/>
  <c r="I1318" i="1"/>
  <c r="J1318" i="1"/>
  <c r="L1318" i="1"/>
  <c r="M1318" i="1"/>
  <c r="V1318" i="1"/>
  <c r="AE1318" i="1"/>
  <c r="C1319" i="1"/>
  <c r="E1319" i="1"/>
  <c r="F1319" i="1"/>
  <c r="H1319" i="1"/>
  <c r="I1319" i="1"/>
  <c r="J1319" i="1"/>
  <c r="L1319" i="1"/>
  <c r="M1319" i="1"/>
  <c r="V1319" i="1"/>
  <c r="AE1319" i="1"/>
  <c r="C1320" i="1"/>
  <c r="E1320" i="1"/>
  <c r="F1320" i="1"/>
  <c r="H1320" i="1"/>
  <c r="I1320" i="1"/>
  <c r="J1320" i="1"/>
  <c r="L1320" i="1"/>
  <c r="M1320" i="1"/>
  <c r="V1320" i="1"/>
  <c r="AE1320" i="1"/>
  <c r="C1321" i="1"/>
  <c r="E1321" i="1"/>
  <c r="F1321" i="1"/>
  <c r="H1321" i="1"/>
  <c r="I1321" i="1"/>
  <c r="J1321" i="1"/>
  <c r="L1321" i="1"/>
  <c r="M1321" i="1"/>
  <c r="V1321" i="1"/>
  <c r="AE1321" i="1"/>
  <c r="C1322" i="1"/>
  <c r="E1322" i="1"/>
  <c r="F1322" i="1"/>
  <c r="H1322" i="1"/>
  <c r="I1322" i="1"/>
  <c r="J1322" i="1"/>
  <c r="L1322" i="1"/>
  <c r="M1322" i="1"/>
  <c r="V1322" i="1"/>
  <c r="AE1322" i="1"/>
  <c r="C1323" i="1"/>
  <c r="E1323" i="1"/>
  <c r="F1323" i="1"/>
  <c r="H1323" i="1"/>
  <c r="I1323" i="1"/>
  <c r="J1323" i="1"/>
  <c r="L1323" i="1"/>
  <c r="M1323" i="1"/>
  <c r="V1323" i="1"/>
  <c r="AE1323" i="1"/>
  <c r="C1324" i="1"/>
  <c r="E1324" i="1"/>
  <c r="F1324" i="1"/>
  <c r="H1324" i="1"/>
  <c r="I1324" i="1"/>
  <c r="J1324" i="1"/>
  <c r="L1324" i="1"/>
  <c r="M1324" i="1"/>
  <c r="V1324" i="1"/>
  <c r="AE1324" i="1"/>
  <c r="C1325" i="1"/>
  <c r="E1325" i="1"/>
  <c r="F1325" i="1"/>
  <c r="H1325" i="1"/>
  <c r="I1325" i="1"/>
  <c r="J1325" i="1"/>
  <c r="L1325" i="1"/>
  <c r="M1325" i="1"/>
  <c r="V1325" i="1"/>
  <c r="AE1325" i="1"/>
  <c r="C1326" i="1"/>
  <c r="E1326" i="1"/>
  <c r="F1326" i="1"/>
  <c r="H1326" i="1"/>
  <c r="I1326" i="1"/>
  <c r="J1326" i="1"/>
  <c r="L1326" i="1"/>
  <c r="M1326" i="1"/>
  <c r="V1326" i="1"/>
  <c r="AE1326" i="1"/>
  <c r="C1327" i="1"/>
  <c r="E1327" i="1"/>
  <c r="F1327" i="1"/>
  <c r="H1327" i="1"/>
  <c r="I1327" i="1"/>
  <c r="J1327" i="1"/>
  <c r="L1327" i="1"/>
  <c r="M1327" i="1"/>
  <c r="V1327" i="1"/>
  <c r="AE1327" i="1"/>
  <c r="C1328" i="1"/>
  <c r="E1328" i="1"/>
  <c r="F1328" i="1"/>
  <c r="H1328" i="1"/>
  <c r="I1328" i="1"/>
  <c r="J1328" i="1"/>
  <c r="L1328" i="1"/>
  <c r="M1328" i="1"/>
  <c r="V1328" i="1"/>
  <c r="AE1328" i="1"/>
  <c r="C1329" i="1"/>
  <c r="E1329" i="1"/>
  <c r="F1329" i="1"/>
  <c r="H1329" i="1"/>
  <c r="I1329" i="1"/>
  <c r="J1329" i="1"/>
  <c r="L1329" i="1"/>
  <c r="M1329" i="1"/>
  <c r="V1329" i="1"/>
  <c r="AE1329" i="1"/>
  <c r="C1330" i="1"/>
  <c r="E1330" i="1"/>
  <c r="F1330" i="1"/>
  <c r="H1330" i="1"/>
  <c r="I1330" i="1"/>
  <c r="J1330" i="1"/>
  <c r="L1330" i="1"/>
  <c r="M1330" i="1"/>
  <c r="V1330" i="1"/>
  <c r="AE1330" i="1"/>
  <c r="C1331" i="1"/>
  <c r="E1331" i="1"/>
  <c r="F1331" i="1"/>
  <c r="H1331" i="1"/>
  <c r="I1331" i="1"/>
  <c r="J1331" i="1"/>
  <c r="L1331" i="1"/>
  <c r="M1331" i="1"/>
  <c r="V1331" i="1"/>
  <c r="AE1331" i="1"/>
  <c r="C1332" i="1"/>
  <c r="E1332" i="1"/>
  <c r="F1332" i="1"/>
  <c r="H1332" i="1"/>
  <c r="I1332" i="1"/>
  <c r="J1332" i="1"/>
  <c r="L1332" i="1"/>
  <c r="M1332" i="1"/>
  <c r="V1332" i="1"/>
  <c r="AE1332" i="1"/>
  <c r="C1333" i="1"/>
  <c r="E1333" i="1"/>
  <c r="F1333" i="1"/>
  <c r="H1333" i="1"/>
  <c r="I1333" i="1"/>
  <c r="J1333" i="1"/>
  <c r="L1333" i="1"/>
  <c r="M1333" i="1"/>
  <c r="V1333" i="1"/>
  <c r="AE1333" i="1"/>
  <c r="C1334" i="1"/>
  <c r="E1334" i="1"/>
  <c r="F1334" i="1"/>
  <c r="H1334" i="1"/>
  <c r="I1334" i="1"/>
  <c r="J1334" i="1"/>
  <c r="L1334" i="1"/>
  <c r="M1334" i="1"/>
  <c r="V1334" i="1"/>
  <c r="AE1334" i="1"/>
  <c r="C1335" i="1"/>
  <c r="E1335" i="1"/>
  <c r="F1335" i="1"/>
  <c r="H1335" i="1"/>
  <c r="I1335" i="1"/>
  <c r="J1335" i="1"/>
  <c r="L1335" i="1"/>
  <c r="M1335" i="1"/>
  <c r="V1335" i="1"/>
  <c r="AE1335" i="1"/>
  <c r="C1336" i="1"/>
  <c r="E1336" i="1"/>
  <c r="F1336" i="1"/>
  <c r="H1336" i="1"/>
  <c r="I1336" i="1"/>
  <c r="J1336" i="1"/>
  <c r="L1336" i="1"/>
  <c r="M1336" i="1"/>
  <c r="V1336" i="1"/>
  <c r="AE1336" i="1"/>
  <c r="C1337" i="1"/>
  <c r="E1337" i="1"/>
  <c r="F1337" i="1"/>
  <c r="H1337" i="1"/>
  <c r="I1337" i="1"/>
  <c r="J1337" i="1"/>
  <c r="L1337" i="1"/>
  <c r="M1337" i="1"/>
  <c r="V1337" i="1"/>
  <c r="AE1337" i="1"/>
  <c r="C1338" i="1"/>
  <c r="E1338" i="1"/>
  <c r="F1338" i="1"/>
  <c r="H1338" i="1"/>
  <c r="I1338" i="1"/>
  <c r="J1338" i="1"/>
  <c r="L1338" i="1"/>
  <c r="M1338" i="1"/>
  <c r="V1338" i="1"/>
  <c r="AE1338" i="1"/>
  <c r="C1339" i="1"/>
  <c r="E1339" i="1"/>
  <c r="F1339" i="1"/>
  <c r="H1339" i="1"/>
  <c r="I1339" i="1"/>
  <c r="J1339" i="1"/>
  <c r="L1339" i="1"/>
  <c r="M1339" i="1"/>
  <c r="V1339" i="1"/>
  <c r="AE1339" i="1"/>
  <c r="C1340" i="1"/>
  <c r="E1340" i="1"/>
  <c r="F1340" i="1"/>
  <c r="H1340" i="1"/>
  <c r="I1340" i="1"/>
  <c r="J1340" i="1"/>
  <c r="L1340" i="1"/>
  <c r="M1340" i="1"/>
  <c r="V1340" i="1"/>
  <c r="AE1340" i="1"/>
  <c r="C1341" i="1"/>
  <c r="E1341" i="1"/>
  <c r="F1341" i="1"/>
  <c r="H1341" i="1"/>
  <c r="I1341" i="1"/>
  <c r="J1341" i="1"/>
  <c r="L1341" i="1"/>
  <c r="M1341" i="1"/>
  <c r="V1341" i="1"/>
  <c r="AE1341" i="1"/>
  <c r="C1342" i="1"/>
  <c r="E1342" i="1"/>
  <c r="F1342" i="1"/>
  <c r="H1342" i="1"/>
  <c r="I1342" i="1"/>
  <c r="J1342" i="1"/>
  <c r="L1342" i="1"/>
  <c r="M1342" i="1"/>
  <c r="V1342" i="1"/>
  <c r="AE1342" i="1"/>
  <c r="C1343" i="1"/>
  <c r="E1343" i="1"/>
  <c r="F1343" i="1"/>
  <c r="H1343" i="1"/>
  <c r="I1343" i="1"/>
  <c r="J1343" i="1"/>
  <c r="L1343" i="1"/>
  <c r="M1343" i="1"/>
  <c r="V1343" i="1"/>
  <c r="AE1343" i="1"/>
  <c r="C1344" i="1"/>
  <c r="E1344" i="1"/>
  <c r="F1344" i="1"/>
  <c r="H1344" i="1"/>
  <c r="I1344" i="1"/>
  <c r="J1344" i="1"/>
  <c r="L1344" i="1"/>
  <c r="M1344" i="1"/>
  <c r="V1344" i="1"/>
  <c r="AE1344" i="1"/>
  <c r="C1345" i="1"/>
  <c r="E1345" i="1"/>
  <c r="F1345" i="1"/>
  <c r="H1345" i="1"/>
  <c r="I1345" i="1"/>
  <c r="J1345" i="1"/>
  <c r="L1345" i="1"/>
  <c r="M1345" i="1"/>
  <c r="V1345" i="1"/>
  <c r="AE1345" i="1"/>
  <c r="C1346" i="1"/>
  <c r="E1346" i="1"/>
  <c r="F1346" i="1"/>
  <c r="H1346" i="1"/>
  <c r="I1346" i="1"/>
  <c r="J1346" i="1"/>
  <c r="L1346" i="1"/>
  <c r="M1346" i="1"/>
  <c r="V1346" i="1"/>
  <c r="AE1346" i="1"/>
  <c r="C1347" i="1"/>
  <c r="E1347" i="1"/>
  <c r="F1347" i="1"/>
  <c r="H1347" i="1"/>
  <c r="I1347" i="1"/>
  <c r="J1347" i="1"/>
  <c r="L1347" i="1"/>
  <c r="M1347" i="1"/>
  <c r="V1347" i="1"/>
  <c r="AE1347" i="1"/>
  <c r="C1348" i="1"/>
  <c r="E1348" i="1"/>
  <c r="F1348" i="1"/>
  <c r="H1348" i="1"/>
  <c r="I1348" i="1"/>
  <c r="J1348" i="1"/>
  <c r="L1348" i="1"/>
  <c r="M1348" i="1"/>
  <c r="V1348" i="1"/>
  <c r="AE1348" i="1"/>
  <c r="C1349" i="1"/>
  <c r="E1349" i="1"/>
  <c r="F1349" i="1"/>
  <c r="H1349" i="1"/>
  <c r="I1349" i="1"/>
  <c r="J1349" i="1"/>
  <c r="L1349" i="1"/>
  <c r="M1349" i="1"/>
  <c r="V1349" i="1"/>
  <c r="AE1349" i="1"/>
  <c r="C1350" i="1"/>
  <c r="E1350" i="1"/>
  <c r="F1350" i="1"/>
  <c r="H1350" i="1"/>
  <c r="I1350" i="1"/>
  <c r="J1350" i="1"/>
  <c r="L1350" i="1"/>
  <c r="M1350" i="1"/>
  <c r="V1350" i="1"/>
  <c r="AE1350" i="1"/>
  <c r="C1351" i="1"/>
  <c r="E1351" i="1"/>
  <c r="F1351" i="1"/>
  <c r="H1351" i="1"/>
  <c r="I1351" i="1"/>
  <c r="J1351" i="1"/>
  <c r="L1351" i="1"/>
  <c r="M1351" i="1"/>
  <c r="V1351" i="1"/>
  <c r="AE1351" i="1"/>
  <c r="C1352" i="1"/>
  <c r="E1352" i="1"/>
  <c r="F1352" i="1"/>
  <c r="H1352" i="1"/>
  <c r="I1352" i="1"/>
  <c r="J1352" i="1"/>
  <c r="L1352" i="1"/>
  <c r="M1352" i="1"/>
  <c r="V1352" i="1"/>
  <c r="AE1352" i="1"/>
  <c r="C1353" i="1"/>
  <c r="E1353" i="1"/>
  <c r="F1353" i="1"/>
  <c r="H1353" i="1"/>
  <c r="I1353" i="1"/>
  <c r="J1353" i="1"/>
  <c r="L1353" i="1"/>
  <c r="M1353" i="1"/>
  <c r="V1353" i="1"/>
  <c r="AE1353" i="1"/>
  <c r="C1354" i="1"/>
  <c r="E1354" i="1"/>
  <c r="F1354" i="1"/>
  <c r="H1354" i="1"/>
  <c r="I1354" i="1"/>
  <c r="J1354" i="1"/>
  <c r="L1354" i="1"/>
  <c r="M1354" i="1"/>
  <c r="V1354" i="1"/>
  <c r="AE1354" i="1"/>
  <c r="C1355" i="1"/>
  <c r="E1355" i="1"/>
  <c r="F1355" i="1"/>
  <c r="H1355" i="1"/>
  <c r="I1355" i="1"/>
  <c r="J1355" i="1"/>
  <c r="L1355" i="1"/>
  <c r="M1355" i="1"/>
  <c r="V1355" i="1"/>
  <c r="AE1355" i="1"/>
  <c r="C1356" i="1"/>
  <c r="E1356" i="1"/>
  <c r="F1356" i="1"/>
  <c r="H1356" i="1"/>
  <c r="I1356" i="1"/>
  <c r="J1356" i="1"/>
  <c r="L1356" i="1"/>
  <c r="M1356" i="1"/>
  <c r="V1356" i="1"/>
  <c r="AE1356" i="1"/>
  <c r="C1357" i="1"/>
  <c r="E1357" i="1"/>
  <c r="F1357" i="1"/>
  <c r="H1357" i="1"/>
  <c r="I1357" i="1"/>
  <c r="J1357" i="1"/>
  <c r="L1357" i="1"/>
  <c r="M1357" i="1"/>
  <c r="V1357" i="1"/>
  <c r="AE1357" i="1"/>
  <c r="C1358" i="1"/>
  <c r="E1358" i="1"/>
  <c r="F1358" i="1"/>
  <c r="H1358" i="1"/>
  <c r="I1358" i="1"/>
  <c r="J1358" i="1"/>
  <c r="L1358" i="1"/>
  <c r="M1358" i="1"/>
  <c r="V1358" i="1"/>
  <c r="AE1358" i="1"/>
  <c r="C1359" i="1"/>
  <c r="E1359" i="1"/>
  <c r="F1359" i="1"/>
  <c r="H1359" i="1"/>
  <c r="I1359" i="1"/>
  <c r="J1359" i="1"/>
  <c r="L1359" i="1"/>
  <c r="M1359" i="1"/>
  <c r="V1359" i="1"/>
  <c r="AE1359" i="1"/>
  <c r="C1360" i="1"/>
  <c r="E1360" i="1"/>
  <c r="F1360" i="1"/>
  <c r="H1360" i="1"/>
  <c r="I1360" i="1"/>
  <c r="J1360" i="1"/>
  <c r="L1360" i="1"/>
  <c r="M1360" i="1"/>
  <c r="V1360" i="1"/>
  <c r="AE1360" i="1"/>
  <c r="C1361" i="1"/>
  <c r="E1361" i="1"/>
  <c r="F1361" i="1"/>
  <c r="H1361" i="1"/>
  <c r="I1361" i="1"/>
  <c r="J1361" i="1"/>
  <c r="L1361" i="1"/>
  <c r="M1361" i="1"/>
  <c r="V1361" i="1"/>
  <c r="AE1361" i="1"/>
  <c r="C1362" i="1"/>
  <c r="E1362" i="1"/>
  <c r="F1362" i="1"/>
  <c r="H1362" i="1"/>
  <c r="I1362" i="1"/>
  <c r="J1362" i="1"/>
  <c r="L1362" i="1"/>
  <c r="M1362" i="1"/>
  <c r="V1362" i="1"/>
  <c r="AE1362" i="1"/>
  <c r="C1363" i="1"/>
  <c r="E1363" i="1"/>
  <c r="F1363" i="1"/>
  <c r="H1363" i="1"/>
  <c r="I1363" i="1"/>
  <c r="J1363" i="1"/>
  <c r="L1363" i="1"/>
  <c r="M1363" i="1"/>
  <c r="V1363" i="1"/>
  <c r="AE1363" i="1"/>
  <c r="C1364" i="1"/>
  <c r="E1364" i="1"/>
  <c r="F1364" i="1"/>
  <c r="H1364" i="1"/>
  <c r="I1364" i="1"/>
  <c r="J1364" i="1"/>
  <c r="L1364" i="1"/>
  <c r="M1364" i="1"/>
  <c r="V1364" i="1"/>
  <c r="AE1364" i="1"/>
  <c r="C1365" i="1"/>
  <c r="E1365" i="1"/>
  <c r="F1365" i="1"/>
  <c r="H1365" i="1"/>
  <c r="I1365" i="1"/>
  <c r="J1365" i="1"/>
  <c r="L1365" i="1"/>
  <c r="M1365" i="1"/>
  <c r="V1365" i="1"/>
  <c r="AE1365" i="1"/>
  <c r="C1366" i="1"/>
  <c r="E1366" i="1"/>
  <c r="F1366" i="1"/>
  <c r="H1366" i="1"/>
  <c r="I1366" i="1"/>
  <c r="J1366" i="1"/>
  <c r="L1366" i="1"/>
  <c r="M1366" i="1"/>
  <c r="V1366" i="1"/>
  <c r="AE1366" i="1"/>
  <c r="C1367" i="1"/>
  <c r="E1367" i="1"/>
  <c r="F1367" i="1"/>
  <c r="H1367" i="1"/>
  <c r="I1367" i="1"/>
  <c r="J1367" i="1"/>
  <c r="L1367" i="1"/>
  <c r="M1367" i="1"/>
  <c r="V1367" i="1"/>
  <c r="AE1367" i="1"/>
  <c r="C1368" i="1"/>
  <c r="E1368" i="1"/>
  <c r="F1368" i="1"/>
  <c r="H1368" i="1"/>
  <c r="I1368" i="1"/>
  <c r="J1368" i="1"/>
  <c r="L1368" i="1"/>
  <c r="M1368" i="1"/>
  <c r="V1368" i="1"/>
  <c r="AE1368" i="1"/>
  <c r="C1369" i="1"/>
  <c r="E1369" i="1"/>
  <c r="F1369" i="1"/>
  <c r="H1369" i="1"/>
  <c r="I1369" i="1"/>
  <c r="J1369" i="1"/>
  <c r="L1369" i="1"/>
  <c r="M1369" i="1"/>
  <c r="V1369" i="1"/>
  <c r="AE1369" i="1"/>
  <c r="C1370" i="1"/>
  <c r="E1370" i="1"/>
  <c r="F1370" i="1"/>
  <c r="H1370" i="1"/>
  <c r="I1370" i="1"/>
  <c r="J1370" i="1"/>
  <c r="L1370" i="1"/>
  <c r="M1370" i="1"/>
  <c r="V1370" i="1"/>
  <c r="AE1370" i="1"/>
  <c r="C1371" i="1"/>
  <c r="E1371" i="1"/>
  <c r="F1371" i="1"/>
  <c r="H1371" i="1"/>
  <c r="I1371" i="1"/>
  <c r="J1371" i="1"/>
  <c r="L1371" i="1"/>
  <c r="M1371" i="1"/>
  <c r="V1371" i="1"/>
  <c r="AE1371" i="1"/>
  <c r="C1372" i="1"/>
  <c r="E1372" i="1"/>
  <c r="F1372" i="1"/>
  <c r="H1372" i="1"/>
  <c r="I1372" i="1"/>
  <c r="J1372" i="1"/>
  <c r="L1372" i="1"/>
  <c r="M1372" i="1"/>
  <c r="V1372" i="1"/>
  <c r="AE1372" i="1"/>
  <c r="C1373" i="1"/>
  <c r="E1373" i="1"/>
  <c r="F1373" i="1"/>
  <c r="H1373" i="1"/>
  <c r="I1373" i="1"/>
  <c r="J1373" i="1"/>
  <c r="L1373" i="1"/>
  <c r="M1373" i="1"/>
  <c r="V1373" i="1"/>
  <c r="AE1373" i="1"/>
  <c r="C1374" i="1"/>
  <c r="E1374" i="1"/>
  <c r="F1374" i="1"/>
  <c r="H1374" i="1"/>
  <c r="I1374" i="1"/>
  <c r="J1374" i="1"/>
  <c r="L1374" i="1"/>
  <c r="M1374" i="1"/>
  <c r="V1374" i="1"/>
  <c r="AE1374" i="1"/>
  <c r="C1375" i="1"/>
  <c r="E1375" i="1"/>
  <c r="F1375" i="1"/>
  <c r="H1375" i="1"/>
  <c r="I1375" i="1"/>
  <c r="J1375" i="1"/>
  <c r="L1375" i="1"/>
  <c r="M1375" i="1"/>
  <c r="V1375" i="1"/>
  <c r="AE1375" i="1"/>
  <c r="C1376" i="1"/>
  <c r="E1376" i="1"/>
  <c r="F1376" i="1"/>
  <c r="H1376" i="1"/>
  <c r="I1376" i="1"/>
  <c r="J1376" i="1"/>
  <c r="L1376" i="1"/>
  <c r="M1376" i="1"/>
  <c r="V1376" i="1"/>
  <c r="AE1376" i="1"/>
  <c r="C1377" i="1"/>
  <c r="E1377" i="1"/>
  <c r="F1377" i="1"/>
  <c r="H1377" i="1"/>
  <c r="I1377" i="1"/>
  <c r="J1377" i="1"/>
  <c r="L1377" i="1"/>
  <c r="M1377" i="1"/>
  <c r="V1377" i="1"/>
  <c r="AE1377" i="1"/>
  <c r="C1378" i="1"/>
  <c r="E1378" i="1"/>
  <c r="F1378" i="1"/>
  <c r="H1378" i="1"/>
  <c r="I1378" i="1"/>
  <c r="J1378" i="1"/>
  <c r="L1378" i="1"/>
  <c r="M1378" i="1"/>
  <c r="V1378" i="1"/>
  <c r="AE1378" i="1"/>
  <c r="C1379" i="1"/>
  <c r="E1379" i="1"/>
  <c r="F1379" i="1"/>
  <c r="H1379" i="1"/>
  <c r="I1379" i="1"/>
  <c r="J1379" i="1"/>
  <c r="L1379" i="1"/>
  <c r="M1379" i="1"/>
  <c r="V1379" i="1"/>
  <c r="AE1379" i="1"/>
  <c r="C1380" i="1"/>
  <c r="E1380" i="1"/>
  <c r="F1380" i="1"/>
  <c r="H1380" i="1"/>
  <c r="I1380" i="1"/>
  <c r="J1380" i="1"/>
  <c r="L1380" i="1"/>
  <c r="M1380" i="1"/>
  <c r="V1380" i="1"/>
  <c r="AE1380" i="1"/>
  <c r="C1381" i="1"/>
  <c r="E1381" i="1"/>
  <c r="F1381" i="1"/>
  <c r="H1381" i="1"/>
  <c r="I1381" i="1"/>
  <c r="J1381" i="1"/>
  <c r="L1381" i="1"/>
  <c r="M1381" i="1"/>
  <c r="V1381" i="1"/>
  <c r="AE1381" i="1"/>
  <c r="C1382" i="1"/>
  <c r="E1382" i="1"/>
  <c r="F1382" i="1"/>
  <c r="H1382" i="1"/>
  <c r="I1382" i="1"/>
  <c r="J1382" i="1"/>
  <c r="L1382" i="1"/>
  <c r="M1382" i="1"/>
  <c r="V1382" i="1"/>
  <c r="AE1382" i="1"/>
  <c r="C1383" i="1"/>
  <c r="E1383" i="1"/>
  <c r="F1383" i="1"/>
  <c r="H1383" i="1"/>
  <c r="I1383" i="1"/>
  <c r="J1383" i="1"/>
  <c r="L1383" i="1"/>
  <c r="M1383" i="1"/>
  <c r="V1383" i="1"/>
  <c r="AE1383" i="1"/>
  <c r="C1384" i="1"/>
  <c r="E1384" i="1"/>
  <c r="F1384" i="1"/>
  <c r="H1384" i="1"/>
  <c r="I1384" i="1"/>
  <c r="J1384" i="1"/>
  <c r="L1384" i="1"/>
  <c r="M1384" i="1"/>
  <c r="V1384" i="1"/>
  <c r="AE1384" i="1"/>
  <c r="C1385" i="1"/>
  <c r="E1385" i="1"/>
  <c r="F1385" i="1"/>
  <c r="H1385" i="1"/>
  <c r="I1385" i="1"/>
  <c r="J1385" i="1"/>
  <c r="L1385" i="1"/>
  <c r="M1385" i="1"/>
  <c r="V1385" i="1"/>
  <c r="AE1385" i="1"/>
  <c r="C1386" i="1"/>
  <c r="E1386" i="1"/>
  <c r="F1386" i="1"/>
  <c r="H1386" i="1"/>
  <c r="I1386" i="1"/>
  <c r="J1386" i="1"/>
  <c r="L1386" i="1"/>
  <c r="M1386" i="1"/>
  <c r="V1386" i="1"/>
  <c r="AE1386" i="1"/>
  <c r="C1387" i="1"/>
  <c r="E1387" i="1"/>
  <c r="F1387" i="1"/>
  <c r="H1387" i="1"/>
  <c r="I1387" i="1"/>
  <c r="J1387" i="1"/>
  <c r="L1387" i="1"/>
  <c r="M1387" i="1"/>
  <c r="V1387" i="1"/>
  <c r="AE1387" i="1"/>
  <c r="C1388" i="1"/>
  <c r="E1388" i="1"/>
  <c r="F1388" i="1"/>
  <c r="H1388" i="1"/>
  <c r="I1388" i="1"/>
  <c r="J1388" i="1"/>
  <c r="L1388" i="1"/>
  <c r="M1388" i="1"/>
  <c r="V1388" i="1"/>
  <c r="AE1388" i="1"/>
  <c r="C1389" i="1"/>
  <c r="E1389" i="1"/>
  <c r="F1389" i="1"/>
  <c r="H1389" i="1"/>
  <c r="I1389" i="1"/>
  <c r="J1389" i="1"/>
  <c r="L1389" i="1"/>
  <c r="M1389" i="1"/>
  <c r="V1389" i="1"/>
  <c r="AE1389" i="1"/>
  <c r="C1390" i="1"/>
  <c r="E1390" i="1"/>
  <c r="F1390" i="1"/>
  <c r="H1390" i="1"/>
  <c r="I1390" i="1"/>
  <c r="J1390" i="1"/>
  <c r="L1390" i="1"/>
  <c r="M1390" i="1"/>
  <c r="V1390" i="1"/>
  <c r="AE1390" i="1"/>
  <c r="C1391" i="1"/>
  <c r="E1391" i="1"/>
  <c r="F1391" i="1"/>
  <c r="H1391" i="1"/>
  <c r="I1391" i="1"/>
  <c r="J1391" i="1"/>
  <c r="L1391" i="1"/>
  <c r="M1391" i="1"/>
  <c r="V1391" i="1"/>
  <c r="AE1391" i="1"/>
  <c r="C1392" i="1"/>
  <c r="E1392" i="1"/>
  <c r="F1392" i="1"/>
  <c r="H1392" i="1"/>
  <c r="I1392" i="1"/>
  <c r="J1392" i="1"/>
  <c r="L1392" i="1"/>
  <c r="M1392" i="1"/>
  <c r="V1392" i="1"/>
  <c r="AE1392" i="1"/>
  <c r="C1393" i="1"/>
  <c r="E1393" i="1"/>
  <c r="F1393" i="1"/>
  <c r="H1393" i="1"/>
  <c r="I1393" i="1"/>
  <c r="J1393" i="1"/>
  <c r="L1393" i="1"/>
  <c r="M1393" i="1"/>
  <c r="V1393" i="1"/>
  <c r="AE1393" i="1"/>
  <c r="C1394" i="1"/>
  <c r="E1394" i="1"/>
  <c r="F1394" i="1"/>
  <c r="H1394" i="1"/>
  <c r="I1394" i="1"/>
  <c r="J1394" i="1"/>
  <c r="L1394" i="1"/>
  <c r="M1394" i="1"/>
  <c r="V1394" i="1"/>
  <c r="AE1394" i="1"/>
  <c r="C1395" i="1"/>
  <c r="E1395" i="1"/>
  <c r="F1395" i="1"/>
  <c r="H1395" i="1"/>
  <c r="I1395" i="1"/>
  <c r="J1395" i="1"/>
  <c r="L1395" i="1"/>
  <c r="M1395" i="1"/>
  <c r="V1395" i="1"/>
  <c r="AE1395" i="1"/>
  <c r="C1396" i="1"/>
  <c r="E1396" i="1"/>
  <c r="F1396" i="1"/>
  <c r="H1396" i="1"/>
  <c r="I1396" i="1"/>
  <c r="J1396" i="1"/>
  <c r="L1396" i="1"/>
  <c r="M1396" i="1"/>
  <c r="V1396" i="1"/>
  <c r="AE1396" i="1"/>
  <c r="C1397" i="1"/>
  <c r="E1397" i="1"/>
  <c r="F1397" i="1"/>
  <c r="H1397" i="1"/>
  <c r="I1397" i="1"/>
  <c r="J1397" i="1"/>
  <c r="L1397" i="1"/>
  <c r="M1397" i="1"/>
  <c r="V1397" i="1"/>
  <c r="AE1397" i="1"/>
  <c r="C1398" i="1"/>
  <c r="E1398" i="1"/>
  <c r="F1398" i="1"/>
  <c r="H1398" i="1"/>
  <c r="I1398" i="1"/>
  <c r="J1398" i="1"/>
  <c r="L1398" i="1"/>
  <c r="M1398" i="1"/>
  <c r="V1398" i="1"/>
  <c r="AE1398" i="1"/>
  <c r="C1399" i="1"/>
  <c r="E1399" i="1"/>
  <c r="F1399" i="1"/>
  <c r="H1399" i="1"/>
  <c r="I1399" i="1"/>
  <c r="J1399" i="1"/>
  <c r="L1399" i="1"/>
  <c r="M1399" i="1"/>
  <c r="V1399" i="1"/>
  <c r="AE1399" i="1"/>
  <c r="C1400" i="1"/>
  <c r="E1400" i="1"/>
  <c r="F1400" i="1"/>
  <c r="H1400" i="1"/>
  <c r="I1400" i="1"/>
  <c r="J1400" i="1"/>
  <c r="L1400" i="1"/>
  <c r="M1400" i="1"/>
  <c r="V1400" i="1"/>
  <c r="AE1400" i="1"/>
  <c r="C1401" i="1"/>
  <c r="E1401" i="1"/>
  <c r="F1401" i="1"/>
  <c r="H1401" i="1"/>
  <c r="I1401" i="1"/>
  <c r="J1401" i="1"/>
  <c r="L1401" i="1"/>
  <c r="M1401" i="1"/>
  <c r="V1401" i="1"/>
  <c r="AE1401" i="1"/>
  <c r="C1402" i="1"/>
  <c r="E1402" i="1"/>
  <c r="F1402" i="1"/>
  <c r="H1402" i="1"/>
  <c r="I1402" i="1"/>
  <c r="J1402" i="1"/>
  <c r="L1402" i="1"/>
  <c r="M1402" i="1"/>
  <c r="V1402" i="1"/>
  <c r="AE1402" i="1"/>
  <c r="C1403" i="1"/>
  <c r="E1403" i="1"/>
  <c r="F1403" i="1"/>
  <c r="H1403" i="1"/>
  <c r="I1403" i="1"/>
  <c r="J1403" i="1"/>
  <c r="L1403" i="1"/>
  <c r="M1403" i="1"/>
  <c r="V1403" i="1"/>
  <c r="AE1403" i="1"/>
  <c r="C1404" i="1"/>
  <c r="E1404" i="1"/>
  <c r="F1404" i="1"/>
  <c r="H1404" i="1"/>
  <c r="I1404" i="1"/>
  <c r="J1404" i="1"/>
  <c r="L1404" i="1"/>
  <c r="M1404" i="1"/>
  <c r="V1404" i="1"/>
  <c r="AE1404" i="1"/>
  <c r="C1405" i="1"/>
  <c r="E1405" i="1"/>
  <c r="F1405" i="1"/>
  <c r="H1405" i="1"/>
  <c r="I1405" i="1"/>
  <c r="J1405" i="1"/>
  <c r="L1405" i="1"/>
  <c r="M1405" i="1"/>
  <c r="V1405" i="1"/>
  <c r="AE1405" i="1"/>
  <c r="C1406" i="1"/>
  <c r="E1406" i="1"/>
  <c r="F1406" i="1"/>
  <c r="H1406" i="1"/>
  <c r="I1406" i="1"/>
  <c r="J1406" i="1"/>
  <c r="L1406" i="1"/>
  <c r="M1406" i="1"/>
  <c r="V1406" i="1"/>
  <c r="AE1406" i="1"/>
  <c r="C1407" i="1"/>
  <c r="E1407" i="1"/>
  <c r="F1407" i="1"/>
  <c r="H1407" i="1"/>
  <c r="I1407" i="1"/>
  <c r="J1407" i="1"/>
  <c r="L1407" i="1"/>
  <c r="M1407" i="1"/>
  <c r="V1407" i="1"/>
  <c r="AE1407" i="1"/>
  <c r="C1408" i="1"/>
  <c r="E1408" i="1"/>
  <c r="F1408" i="1"/>
  <c r="H1408" i="1"/>
  <c r="I1408" i="1"/>
  <c r="J1408" i="1"/>
  <c r="L1408" i="1"/>
  <c r="M1408" i="1"/>
  <c r="V1408" i="1"/>
  <c r="AE1408" i="1"/>
  <c r="C1409" i="1"/>
  <c r="E1409" i="1"/>
  <c r="F1409" i="1"/>
  <c r="H1409" i="1"/>
  <c r="I1409" i="1"/>
  <c r="J1409" i="1"/>
  <c r="L1409" i="1"/>
  <c r="M1409" i="1"/>
  <c r="V1409" i="1"/>
  <c r="AE1409" i="1"/>
  <c r="C1410" i="1"/>
  <c r="E1410" i="1"/>
  <c r="F1410" i="1"/>
  <c r="H1410" i="1"/>
  <c r="I1410" i="1"/>
  <c r="J1410" i="1"/>
  <c r="L1410" i="1"/>
  <c r="M1410" i="1"/>
  <c r="V1410" i="1"/>
  <c r="AE1410" i="1"/>
  <c r="C1411" i="1"/>
  <c r="E1411" i="1"/>
  <c r="F1411" i="1"/>
  <c r="H1411" i="1"/>
  <c r="I1411" i="1"/>
  <c r="J1411" i="1"/>
  <c r="L1411" i="1"/>
  <c r="M1411" i="1"/>
  <c r="V1411" i="1"/>
  <c r="AE1411" i="1"/>
  <c r="C1412" i="1"/>
  <c r="E1412" i="1"/>
  <c r="F1412" i="1"/>
  <c r="H1412" i="1"/>
  <c r="I1412" i="1"/>
  <c r="J1412" i="1"/>
  <c r="L1412" i="1"/>
  <c r="M1412" i="1"/>
  <c r="V1412" i="1"/>
  <c r="AE1412" i="1"/>
  <c r="C1413" i="1"/>
  <c r="E1413" i="1"/>
  <c r="F1413" i="1"/>
  <c r="H1413" i="1"/>
  <c r="I1413" i="1"/>
  <c r="J1413" i="1"/>
  <c r="L1413" i="1"/>
  <c r="M1413" i="1"/>
  <c r="V1413" i="1"/>
  <c r="AE1413" i="1"/>
  <c r="C1414" i="1"/>
  <c r="E1414" i="1"/>
  <c r="F1414" i="1"/>
  <c r="H1414" i="1"/>
  <c r="I1414" i="1"/>
  <c r="J1414" i="1"/>
  <c r="L1414" i="1"/>
  <c r="M1414" i="1"/>
  <c r="V1414" i="1"/>
  <c r="AE1414" i="1"/>
  <c r="C1415" i="1"/>
  <c r="E1415" i="1"/>
  <c r="F1415" i="1"/>
  <c r="H1415" i="1"/>
  <c r="I1415" i="1"/>
  <c r="J1415" i="1"/>
  <c r="L1415" i="1"/>
  <c r="M1415" i="1"/>
  <c r="V1415" i="1"/>
  <c r="AE1415" i="1"/>
  <c r="C1416" i="1"/>
  <c r="E1416" i="1"/>
  <c r="F1416" i="1"/>
  <c r="H1416" i="1"/>
  <c r="I1416" i="1"/>
  <c r="J1416" i="1"/>
  <c r="L1416" i="1"/>
  <c r="M1416" i="1"/>
  <c r="V1416" i="1"/>
  <c r="AE1416" i="1"/>
  <c r="C1417" i="1"/>
  <c r="E1417" i="1"/>
  <c r="F1417" i="1"/>
  <c r="H1417" i="1"/>
  <c r="I1417" i="1"/>
  <c r="J1417" i="1"/>
  <c r="L1417" i="1"/>
  <c r="M1417" i="1"/>
  <c r="V1417" i="1"/>
  <c r="AE1417" i="1"/>
  <c r="C1418" i="1"/>
  <c r="E1418" i="1"/>
  <c r="F1418" i="1"/>
  <c r="H1418" i="1"/>
  <c r="I1418" i="1"/>
  <c r="J1418" i="1"/>
  <c r="L1418" i="1"/>
  <c r="M1418" i="1"/>
  <c r="V1418" i="1"/>
  <c r="AE1418" i="1"/>
  <c r="C1419" i="1"/>
  <c r="E1419" i="1"/>
  <c r="F1419" i="1"/>
  <c r="H1419" i="1"/>
  <c r="I1419" i="1"/>
  <c r="J1419" i="1"/>
  <c r="L1419" i="1"/>
  <c r="M1419" i="1"/>
  <c r="V1419" i="1"/>
  <c r="AE1419" i="1"/>
  <c r="C1420" i="1"/>
  <c r="E1420" i="1"/>
  <c r="F1420" i="1"/>
  <c r="H1420" i="1"/>
  <c r="I1420" i="1"/>
  <c r="J1420" i="1"/>
  <c r="L1420" i="1"/>
  <c r="M1420" i="1"/>
  <c r="V1420" i="1"/>
  <c r="AE1420" i="1"/>
  <c r="C1421" i="1"/>
  <c r="E1421" i="1"/>
  <c r="F1421" i="1"/>
  <c r="H1421" i="1"/>
  <c r="I1421" i="1"/>
  <c r="J1421" i="1"/>
  <c r="L1421" i="1"/>
  <c r="M1421" i="1"/>
  <c r="V1421" i="1"/>
  <c r="AE1421" i="1"/>
  <c r="C1422" i="1"/>
  <c r="E1422" i="1"/>
  <c r="F1422" i="1"/>
  <c r="H1422" i="1"/>
  <c r="I1422" i="1"/>
  <c r="J1422" i="1"/>
  <c r="L1422" i="1"/>
  <c r="M1422" i="1"/>
  <c r="V1422" i="1"/>
  <c r="AE1422" i="1"/>
  <c r="C1423" i="1"/>
  <c r="E1423" i="1"/>
  <c r="F1423" i="1"/>
  <c r="H1423" i="1"/>
  <c r="I1423" i="1"/>
  <c r="J1423" i="1"/>
  <c r="L1423" i="1"/>
  <c r="M1423" i="1"/>
  <c r="V1423" i="1"/>
  <c r="AE1423" i="1"/>
  <c r="C1424" i="1"/>
  <c r="E1424" i="1"/>
  <c r="F1424" i="1"/>
  <c r="H1424" i="1"/>
  <c r="I1424" i="1"/>
  <c r="J1424" i="1"/>
  <c r="L1424" i="1"/>
  <c r="M1424" i="1"/>
  <c r="V1424" i="1"/>
  <c r="AE1424" i="1"/>
  <c r="C1425" i="1"/>
  <c r="E1425" i="1"/>
  <c r="F1425" i="1"/>
  <c r="H1425" i="1"/>
  <c r="I1425" i="1"/>
  <c r="J1425" i="1"/>
  <c r="L1425" i="1"/>
  <c r="M1425" i="1"/>
  <c r="AE1425" i="1"/>
  <c r="C1426" i="1"/>
  <c r="E1426" i="1"/>
  <c r="F1426" i="1"/>
  <c r="H1426" i="1"/>
  <c r="I1426" i="1"/>
  <c r="J1426" i="1"/>
  <c r="L1426" i="1"/>
  <c r="M1426" i="1"/>
  <c r="V1426" i="1"/>
  <c r="AE1426" i="1"/>
  <c r="C1427" i="1"/>
  <c r="E1427" i="1"/>
  <c r="F1427" i="1"/>
  <c r="H1427" i="1"/>
  <c r="I1427" i="1"/>
  <c r="J1427" i="1"/>
  <c r="L1427" i="1"/>
  <c r="M1427" i="1"/>
  <c r="V1427" i="1"/>
  <c r="AE1427" i="1"/>
  <c r="C1428" i="1"/>
  <c r="E1428" i="1"/>
  <c r="F1428" i="1"/>
  <c r="H1428" i="1"/>
  <c r="I1428" i="1"/>
  <c r="J1428" i="1"/>
  <c r="L1428" i="1"/>
  <c r="M1428" i="1"/>
  <c r="V1428" i="1"/>
  <c r="AE1428" i="1"/>
  <c r="C1429" i="1"/>
  <c r="E1429" i="1"/>
  <c r="F1429" i="1"/>
  <c r="H1429" i="1"/>
  <c r="I1429" i="1"/>
  <c r="J1429" i="1"/>
  <c r="L1429" i="1"/>
  <c r="M1429" i="1"/>
  <c r="V1429" i="1"/>
  <c r="AE1429" i="1"/>
  <c r="C1430" i="1"/>
  <c r="E1430" i="1"/>
  <c r="F1430" i="1"/>
  <c r="H1430" i="1"/>
  <c r="I1430" i="1"/>
  <c r="J1430" i="1"/>
  <c r="L1430" i="1"/>
  <c r="M1430" i="1"/>
  <c r="V1430" i="1"/>
  <c r="AE1430" i="1"/>
  <c r="C1431" i="1"/>
  <c r="E1431" i="1"/>
  <c r="F1431" i="1"/>
  <c r="H1431" i="1"/>
  <c r="I1431" i="1"/>
  <c r="J1431" i="1"/>
  <c r="L1431" i="1"/>
  <c r="M1431" i="1"/>
  <c r="V1431" i="1"/>
  <c r="AE1431" i="1"/>
  <c r="C1432" i="1"/>
  <c r="E1432" i="1"/>
  <c r="F1432" i="1"/>
  <c r="H1432" i="1"/>
  <c r="I1432" i="1"/>
  <c r="J1432" i="1"/>
  <c r="L1432" i="1"/>
  <c r="M1432" i="1"/>
  <c r="V1432" i="1"/>
  <c r="AE1432" i="1"/>
  <c r="C1433" i="1"/>
  <c r="E1433" i="1"/>
  <c r="F1433" i="1"/>
  <c r="H1433" i="1"/>
  <c r="I1433" i="1"/>
  <c r="J1433" i="1"/>
  <c r="L1433" i="1"/>
  <c r="M1433" i="1"/>
  <c r="V1433" i="1"/>
  <c r="AE1433" i="1"/>
  <c r="C1434" i="1"/>
  <c r="E1434" i="1"/>
  <c r="F1434" i="1"/>
  <c r="H1434" i="1"/>
  <c r="I1434" i="1"/>
  <c r="J1434" i="1"/>
  <c r="L1434" i="1"/>
  <c r="M1434" i="1"/>
  <c r="V1434" i="1"/>
  <c r="AE1434" i="1"/>
  <c r="C1435" i="1"/>
  <c r="E1435" i="1"/>
  <c r="F1435" i="1"/>
  <c r="H1435" i="1"/>
  <c r="I1435" i="1"/>
  <c r="J1435" i="1"/>
  <c r="L1435" i="1"/>
  <c r="M1435" i="1"/>
  <c r="V1435" i="1"/>
  <c r="AE1435" i="1"/>
  <c r="C1436" i="1"/>
  <c r="E1436" i="1"/>
  <c r="F1436" i="1"/>
  <c r="H1436" i="1"/>
  <c r="I1436" i="1"/>
  <c r="J1436" i="1"/>
  <c r="L1436" i="1"/>
  <c r="M1436" i="1"/>
  <c r="V1436" i="1"/>
  <c r="AE1436" i="1"/>
  <c r="C1437" i="1"/>
  <c r="E1437" i="1"/>
  <c r="F1437" i="1"/>
  <c r="H1437" i="1"/>
  <c r="I1437" i="1"/>
  <c r="J1437" i="1"/>
  <c r="L1437" i="1"/>
  <c r="M1437" i="1"/>
  <c r="V1437" i="1"/>
  <c r="AE1437" i="1"/>
  <c r="C1438" i="1"/>
  <c r="E1438" i="1"/>
  <c r="F1438" i="1"/>
  <c r="H1438" i="1"/>
  <c r="I1438" i="1"/>
  <c r="J1438" i="1"/>
  <c r="L1438" i="1"/>
  <c r="M1438" i="1"/>
  <c r="V1438" i="1"/>
  <c r="AE1438" i="1"/>
  <c r="C1439" i="1"/>
  <c r="E1439" i="1"/>
  <c r="F1439" i="1"/>
  <c r="H1439" i="1"/>
  <c r="I1439" i="1"/>
  <c r="J1439" i="1"/>
  <c r="L1439" i="1"/>
  <c r="M1439" i="1"/>
  <c r="V1439" i="1"/>
  <c r="AE1439" i="1"/>
  <c r="C1440" i="1"/>
  <c r="E1440" i="1"/>
  <c r="F1440" i="1"/>
  <c r="H1440" i="1"/>
  <c r="I1440" i="1"/>
  <c r="J1440" i="1"/>
  <c r="L1440" i="1"/>
  <c r="M1440" i="1"/>
  <c r="V1440" i="1"/>
  <c r="AE1440" i="1"/>
  <c r="C1441" i="1"/>
  <c r="E1441" i="1"/>
  <c r="F1441" i="1"/>
  <c r="H1441" i="1"/>
  <c r="I1441" i="1"/>
  <c r="J1441" i="1"/>
  <c r="L1441" i="1"/>
  <c r="M1441" i="1"/>
  <c r="V1441" i="1"/>
  <c r="AE1441" i="1"/>
  <c r="C1442" i="1"/>
  <c r="E1442" i="1"/>
  <c r="F1442" i="1"/>
  <c r="H1442" i="1"/>
  <c r="I1442" i="1"/>
  <c r="J1442" i="1"/>
  <c r="L1442" i="1"/>
  <c r="M1442" i="1"/>
  <c r="V1442" i="1"/>
  <c r="AE1442" i="1"/>
  <c r="C1443" i="1"/>
  <c r="E1443" i="1"/>
  <c r="F1443" i="1"/>
  <c r="H1443" i="1"/>
  <c r="I1443" i="1"/>
  <c r="J1443" i="1"/>
  <c r="L1443" i="1"/>
  <c r="M1443" i="1"/>
  <c r="V1443" i="1"/>
  <c r="AE1443" i="1"/>
  <c r="C1444" i="1"/>
  <c r="E1444" i="1"/>
  <c r="F1444" i="1"/>
  <c r="H1444" i="1"/>
  <c r="I1444" i="1"/>
  <c r="J1444" i="1"/>
  <c r="L1444" i="1"/>
  <c r="M1444" i="1"/>
  <c r="V1444" i="1"/>
  <c r="AE1444" i="1"/>
  <c r="C1445" i="1"/>
  <c r="E1445" i="1"/>
  <c r="F1445" i="1"/>
  <c r="H1445" i="1"/>
  <c r="I1445" i="1"/>
  <c r="J1445" i="1"/>
  <c r="L1445" i="1"/>
  <c r="M1445" i="1"/>
  <c r="V1445" i="1"/>
  <c r="AE1445" i="1"/>
  <c r="C1446" i="1"/>
  <c r="E1446" i="1"/>
  <c r="F1446" i="1"/>
  <c r="H1446" i="1"/>
  <c r="I1446" i="1"/>
  <c r="J1446" i="1"/>
  <c r="L1446" i="1"/>
  <c r="M1446" i="1"/>
  <c r="V1446" i="1"/>
  <c r="AE1446" i="1"/>
  <c r="C1447" i="1"/>
  <c r="E1447" i="1"/>
  <c r="F1447" i="1"/>
  <c r="H1447" i="1"/>
  <c r="I1447" i="1"/>
  <c r="J1447" i="1"/>
  <c r="L1447" i="1"/>
  <c r="M1447" i="1"/>
  <c r="V1447" i="1"/>
  <c r="AE1447" i="1"/>
  <c r="C1448" i="1"/>
  <c r="E1448" i="1"/>
  <c r="F1448" i="1"/>
  <c r="H1448" i="1"/>
  <c r="I1448" i="1"/>
  <c r="J1448" i="1"/>
  <c r="L1448" i="1"/>
  <c r="M1448" i="1"/>
  <c r="AE1448" i="1"/>
  <c r="C1449" i="1"/>
  <c r="E1449" i="1"/>
  <c r="F1449" i="1"/>
  <c r="H1449" i="1"/>
  <c r="I1449" i="1"/>
  <c r="J1449" i="1"/>
  <c r="L1449" i="1"/>
  <c r="M1449" i="1"/>
  <c r="V1449" i="1"/>
  <c r="AE1449" i="1"/>
  <c r="C1450" i="1"/>
  <c r="E1450" i="1"/>
  <c r="F1450" i="1"/>
  <c r="H1450" i="1"/>
  <c r="I1450" i="1"/>
  <c r="J1450" i="1"/>
  <c r="L1450" i="1"/>
  <c r="M1450" i="1"/>
  <c r="V1450" i="1"/>
  <c r="AE1450" i="1"/>
  <c r="C1451" i="1"/>
  <c r="E1451" i="1"/>
  <c r="F1451" i="1"/>
  <c r="H1451" i="1"/>
  <c r="I1451" i="1"/>
  <c r="J1451" i="1"/>
  <c r="L1451" i="1"/>
  <c r="M1451" i="1"/>
  <c r="V1451" i="1"/>
  <c r="AE1451" i="1"/>
  <c r="C1452" i="1"/>
  <c r="E1452" i="1"/>
  <c r="F1452" i="1"/>
  <c r="H1452" i="1"/>
  <c r="I1452" i="1"/>
  <c r="J1452" i="1"/>
  <c r="L1452" i="1"/>
  <c r="M1452" i="1"/>
  <c r="V1452" i="1"/>
  <c r="AE1452" i="1"/>
  <c r="C1453" i="1"/>
  <c r="E1453" i="1"/>
  <c r="F1453" i="1"/>
  <c r="H1453" i="1"/>
  <c r="I1453" i="1"/>
  <c r="J1453" i="1"/>
  <c r="L1453" i="1"/>
  <c r="M1453" i="1"/>
  <c r="V1453" i="1"/>
  <c r="AE1453" i="1"/>
  <c r="C1454" i="1"/>
  <c r="E1454" i="1"/>
  <c r="F1454" i="1"/>
  <c r="H1454" i="1"/>
  <c r="I1454" i="1"/>
  <c r="J1454" i="1"/>
  <c r="L1454" i="1"/>
  <c r="M1454" i="1"/>
  <c r="V1454" i="1"/>
  <c r="AE1454" i="1"/>
  <c r="C1455" i="1"/>
  <c r="E1455" i="1"/>
  <c r="F1455" i="1"/>
  <c r="H1455" i="1"/>
  <c r="I1455" i="1"/>
  <c r="J1455" i="1"/>
  <c r="L1455" i="1"/>
  <c r="M1455" i="1"/>
  <c r="V1455" i="1"/>
  <c r="AE1455" i="1"/>
  <c r="C1456" i="1"/>
  <c r="E1456" i="1"/>
  <c r="F1456" i="1"/>
  <c r="H1456" i="1"/>
  <c r="I1456" i="1"/>
  <c r="J1456" i="1"/>
  <c r="L1456" i="1"/>
  <c r="M1456" i="1"/>
  <c r="V1456" i="1"/>
  <c r="AE1456" i="1"/>
  <c r="C1457" i="1"/>
  <c r="E1457" i="1"/>
  <c r="F1457" i="1"/>
  <c r="H1457" i="1"/>
  <c r="I1457" i="1"/>
  <c r="J1457" i="1"/>
  <c r="L1457" i="1"/>
  <c r="M1457" i="1"/>
  <c r="V1457" i="1"/>
  <c r="AE1457" i="1"/>
  <c r="C1458" i="1"/>
  <c r="E1458" i="1"/>
  <c r="F1458" i="1"/>
  <c r="H1458" i="1"/>
  <c r="I1458" i="1"/>
  <c r="J1458" i="1"/>
  <c r="L1458" i="1"/>
  <c r="M1458" i="1"/>
  <c r="V1458" i="1"/>
  <c r="AE1458" i="1"/>
  <c r="C1459" i="1"/>
  <c r="E1459" i="1"/>
  <c r="F1459" i="1"/>
  <c r="H1459" i="1"/>
  <c r="I1459" i="1"/>
  <c r="J1459" i="1"/>
  <c r="L1459" i="1"/>
  <c r="M1459" i="1"/>
  <c r="V1459" i="1"/>
  <c r="AE1459" i="1"/>
  <c r="C1460" i="1"/>
  <c r="E1460" i="1"/>
  <c r="F1460" i="1"/>
  <c r="H1460" i="1"/>
  <c r="I1460" i="1"/>
  <c r="J1460" i="1"/>
  <c r="L1460" i="1"/>
  <c r="M1460" i="1"/>
  <c r="V1460" i="1"/>
  <c r="AE1460" i="1"/>
  <c r="C1461" i="1"/>
  <c r="E1461" i="1"/>
  <c r="F1461" i="1"/>
  <c r="H1461" i="1"/>
  <c r="I1461" i="1"/>
  <c r="J1461" i="1"/>
  <c r="L1461" i="1"/>
  <c r="M1461" i="1"/>
  <c r="V1461" i="1"/>
  <c r="AE1461" i="1"/>
  <c r="C1462" i="1"/>
  <c r="E1462" i="1"/>
  <c r="F1462" i="1"/>
  <c r="H1462" i="1"/>
  <c r="I1462" i="1"/>
  <c r="J1462" i="1"/>
  <c r="L1462" i="1"/>
  <c r="M1462" i="1"/>
  <c r="V1462" i="1"/>
  <c r="AE1462" i="1"/>
  <c r="C1463" i="1"/>
  <c r="E1463" i="1"/>
  <c r="F1463" i="1"/>
  <c r="H1463" i="1"/>
  <c r="I1463" i="1"/>
  <c r="J1463" i="1"/>
  <c r="L1463" i="1"/>
  <c r="M1463" i="1"/>
  <c r="V1463" i="1"/>
  <c r="AE1463" i="1"/>
  <c r="C1464" i="1"/>
  <c r="E1464" i="1"/>
  <c r="F1464" i="1"/>
  <c r="H1464" i="1"/>
  <c r="I1464" i="1"/>
  <c r="J1464" i="1"/>
  <c r="L1464" i="1"/>
  <c r="M1464" i="1"/>
  <c r="V1464" i="1"/>
  <c r="AE1464" i="1"/>
  <c r="C1465" i="1"/>
  <c r="E1465" i="1"/>
  <c r="F1465" i="1"/>
  <c r="H1465" i="1"/>
  <c r="I1465" i="1"/>
  <c r="J1465" i="1"/>
  <c r="L1465" i="1"/>
  <c r="M1465" i="1"/>
  <c r="V1465" i="1"/>
  <c r="AE1465" i="1"/>
  <c r="C1466" i="1"/>
  <c r="E1466" i="1"/>
  <c r="F1466" i="1"/>
  <c r="H1466" i="1"/>
  <c r="I1466" i="1"/>
  <c r="J1466" i="1"/>
  <c r="L1466" i="1"/>
  <c r="M1466" i="1"/>
  <c r="V1466" i="1"/>
  <c r="AE1466" i="1"/>
  <c r="C1467" i="1"/>
  <c r="E1467" i="1"/>
  <c r="F1467" i="1"/>
  <c r="H1467" i="1"/>
  <c r="I1467" i="1"/>
  <c r="J1467" i="1"/>
  <c r="L1467" i="1"/>
  <c r="M1467" i="1"/>
  <c r="V1467" i="1"/>
  <c r="AE1467" i="1"/>
  <c r="C1468" i="1"/>
  <c r="E1468" i="1"/>
  <c r="F1468" i="1"/>
  <c r="H1468" i="1"/>
  <c r="I1468" i="1"/>
  <c r="J1468" i="1"/>
  <c r="L1468" i="1"/>
  <c r="M1468" i="1"/>
  <c r="V1468" i="1"/>
  <c r="AE1468" i="1"/>
  <c r="C1469" i="1"/>
  <c r="E1469" i="1"/>
  <c r="F1469" i="1"/>
  <c r="H1469" i="1"/>
  <c r="I1469" i="1"/>
  <c r="J1469" i="1"/>
  <c r="L1469" i="1"/>
  <c r="M1469" i="1"/>
  <c r="V1469" i="1"/>
  <c r="AE1469" i="1"/>
  <c r="C1470" i="1"/>
  <c r="E1470" i="1"/>
  <c r="F1470" i="1"/>
  <c r="H1470" i="1"/>
  <c r="I1470" i="1"/>
  <c r="J1470" i="1"/>
  <c r="L1470" i="1"/>
  <c r="M1470" i="1"/>
  <c r="V1470" i="1"/>
  <c r="AE1470" i="1"/>
  <c r="C1471" i="1"/>
  <c r="E1471" i="1"/>
  <c r="F1471" i="1"/>
  <c r="H1471" i="1"/>
  <c r="I1471" i="1"/>
  <c r="J1471" i="1"/>
  <c r="L1471" i="1"/>
  <c r="M1471" i="1"/>
  <c r="V1471" i="1"/>
  <c r="AE1471" i="1"/>
  <c r="C1472" i="1"/>
  <c r="E1472" i="1"/>
  <c r="F1472" i="1"/>
  <c r="H1472" i="1"/>
  <c r="I1472" i="1"/>
  <c r="J1472" i="1"/>
  <c r="L1472" i="1"/>
  <c r="M1472" i="1"/>
  <c r="V1472" i="1"/>
  <c r="AE1472" i="1"/>
  <c r="C1473" i="1"/>
  <c r="E1473" i="1"/>
  <c r="F1473" i="1"/>
  <c r="H1473" i="1"/>
  <c r="I1473" i="1"/>
  <c r="J1473" i="1"/>
  <c r="L1473" i="1"/>
  <c r="M1473" i="1"/>
  <c r="V1473" i="1"/>
  <c r="AE1473" i="1"/>
  <c r="C1474" i="1"/>
  <c r="E1474" i="1"/>
  <c r="F1474" i="1"/>
  <c r="H1474" i="1"/>
  <c r="I1474" i="1"/>
  <c r="J1474" i="1"/>
  <c r="L1474" i="1"/>
  <c r="M1474" i="1"/>
  <c r="V1474" i="1"/>
  <c r="AE1474" i="1"/>
  <c r="C1475" i="1"/>
  <c r="E1475" i="1"/>
  <c r="F1475" i="1"/>
  <c r="H1475" i="1"/>
  <c r="I1475" i="1"/>
  <c r="J1475" i="1"/>
  <c r="L1475" i="1"/>
  <c r="M1475" i="1"/>
  <c r="V1475" i="1"/>
  <c r="AE1475" i="1"/>
  <c r="C1476" i="1"/>
  <c r="E1476" i="1"/>
  <c r="F1476" i="1"/>
  <c r="H1476" i="1"/>
  <c r="I1476" i="1"/>
  <c r="J1476" i="1"/>
  <c r="L1476" i="1"/>
  <c r="M1476" i="1"/>
  <c r="V1476" i="1"/>
  <c r="AE1476" i="1"/>
  <c r="C1477" i="1"/>
  <c r="E1477" i="1"/>
  <c r="F1477" i="1"/>
  <c r="H1477" i="1"/>
  <c r="I1477" i="1"/>
  <c r="J1477" i="1"/>
  <c r="L1477" i="1"/>
  <c r="M1477" i="1"/>
  <c r="V1477" i="1"/>
  <c r="AE1477" i="1"/>
  <c r="C1478" i="1"/>
  <c r="E1478" i="1"/>
  <c r="F1478" i="1"/>
  <c r="H1478" i="1"/>
  <c r="I1478" i="1"/>
  <c r="J1478" i="1"/>
  <c r="L1478" i="1"/>
  <c r="M1478" i="1"/>
  <c r="V1478" i="1"/>
  <c r="AE1478" i="1"/>
  <c r="C1479" i="1"/>
  <c r="E1479" i="1"/>
  <c r="F1479" i="1"/>
  <c r="H1479" i="1"/>
  <c r="I1479" i="1"/>
  <c r="J1479" i="1"/>
  <c r="L1479" i="1"/>
  <c r="M1479" i="1"/>
  <c r="V1479" i="1"/>
  <c r="AE1479" i="1"/>
  <c r="C1480" i="1"/>
  <c r="E1480" i="1"/>
  <c r="F1480" i="1"/>
  <c r="H1480" i="1"/>
  <c r="I1480" i="1"/>
  <c r="J1480" i="1"/>
  <c r="L1480" i="1"/>
  <c r="M1480" i="1"/>
  <c r="V1480" i="1"/>
  <c r="AE1480" i="1"/>
  <c r="C1481" i="1"/>
  <c r="E1481" i="1"/>
  <c r="F1481" i="1"/>
  <c r="H1481" i="1"/>
  <c r="I1481" i="1"/>
  <c r="J1481" i="1"/>
  <c r="L1481" i="1"/>
  <c r="M1481" i="1"/>
  <c r="V1481" i="1"/>
  <c r="AE1481" i="1"/>
  <c r="C1482" i="1"/>
  <c r="E1482" i="1"/>
  <c r="F1482" i="1"/>
  <c r="H1482" i="1"/>
  <c r="I1482" i="1"/>
  <c r="J1482" i="1"/>
  <c r="L1482" i="1"/>
  <c r="M1482" i="1"/>
  <c r="V1482" i="1"/>
  <c r="AE1482" i="1"/>
  <c r="C1483" i="1"/>
  <c r="E1483" i="1"/>
  <c r="F1483" i="1"/>
  <c r="H1483" i="1"/>
  <c r="I1483" i="1"/>
  <c r="J1483" i="1"/>
  <c r="L1483" i="1"/>
  <c r="M1483" i="1"/>
  <c r="V1483" i="1"/>
  <c r="AE1483" i="1"/>
  <c r="C1484" i="1"/>
  <c r="E1484" i="1"/>
  <c r="F1484" i="1"/>
  <c r="H1484" i="1"/>
  <c r="I1484" i="1"/>
  <c r="J1484" i="1"/>
  <c r="L1484" i="1"/>
  <c r="M1484" i="1"/>
  <c r="V1484" i="1"/>
  <c r="AE1484" i="1"/>
  <c r="C1485" i="1"/>
  <c r="E1485" i="1"/>
  <c r="F1485" i="1"/>
  <c r="H1485" i="1"/>
  <c r="I1485" i="1"/>
  <c r="J1485" i="1"/>
  <c r="L1485" i="1"/>
  <c r="M1485" i="1"/>
  <c r="V1485" i="1"/>
  <c r="AE1485" i="1"/>
  <c r="C1486" i="1"/>
  <c r="E1486" i="1"/>
  <c r="F1486" i="1"/>
  <c r="H1486" i="1"/>
  <c r="I1486" i="1"/>
  <c r="J1486" i="1"/>
  <c r="L1486" i="1"/>
  <c r="M1486" i="1"/>
  <c r="V1486" i="1"/>
  <c r="AE1486" i="1"/>
  <c r="C1487" i="1"/>
  <c r="E1487" i="1"/>
  <c r="F1487" i="1"/>
  <c r="H1487" i="1"/>
  <c r="I1487" i="1"/>
  <c r="J1487" i="1"/>
  <c r="L1487" i="1"/>
  <c r="M1487" i="1"/>
  <c r="V1487" i="1"/>
  <c r="AE1487" i="1"/>
  <c r="C1488" i="1"/>
  <c r="E1488" i="1"/>
  <c r="F1488" i="1"/>
  <c r="H1488" i="1"/>
  <c r="I1488" i="1"/>
  <c r="J1488" i="1"/>
  <c r="L1488" i="1"/>
  <c r="M1488" i="1"/>
  <c r="V1488" i="1"/>
  <c r="AE1488" i="1"/>
  <c r="C1489" i="1"/>
  <c r="E1489" i="1"/>
  <c r="F1489" i="1"/>
  <c r="H1489" i="1"/>
  <c r="I1489" i="1"/>
  <c r="J1489" i="1"/>
  <c r="L1489" i="1"/>
  <c r="M1489" i="1"/>
  <c r="V1489" i="1"/>
  <c r="AE1489" i="1"/>
  <c r="C1490" i="1"/>
  <c r="E1490" i="1"/>
  <c r="F1490" i="1"/>
  <c r="H1490" i="1"/>
  <c r="I1490" i="1"/>
  <c r="J1490" i="1"/>
  <c r="L1490" i="1"/>
  <c r="M1490" i="1"/>
  <c r="V1490" i="1"/>
  <c r="AE1490" i="1"/>
  <c r="C1491" i="1"/>
  <c r="E1491" i="1"/>
  <c r="F1491" i="1"/>
  <c r="H1491" i="1"/>
  <c r="I1491" i="1"/>
  <c r="J1491" i="1"/>
  <c r="L1491" i="1"/>
  <c r="M1491" i="1"/>
  <c r="V1491" i="1"/>
  <c r="AE1491" i="1"/>
  <c r="C1492" i="1"/>
  <c r="E1492" i="1"/>
  <c r="F1492" i="1"/>
  <c r="H1492" i="1"/>
  <c r="I1492" i="1"/>
  <c r="J1492" i="1"/>
  <c r="L1492" i="1"/>
  <c r="M1492" i="1"/>
  <c r="V1492" i="1"/>
  <c r="AE1492" i="1"/>
  <c r="C1493" i="1"/>
  <c r="E1493" i="1"/>
  <c r="F1493" i="1"/>
  <c r="H1493" i="1"/>
  <c r="I1493" i="1"/>
  <c r="J1493" i="1"/>
  <c r="L1493" i="1"/>
  <c r="M1493" i="1"/>
  <c r="V1493" i="1"/>
  <c r="AE1493" i="1"/>
  <c r="C1494" i="1"/>
  <c r="E1494" i="1"/>
  <c r="F1494" i="1"/>
  <c r="H1494" i="1"/>
  <c r="I1494" i="1"/>
  <c r="J1494" i="1"/>
  <c r="L1494" i="1"/>
  <c r="M1494" i="1"/>
  <c r="V1494" i="1"/>
  <c r="AE1494" i="1"/>
  <c r="C1495" i="1"/>
  <c r="E1495" i="1"/>
  <c r="F1495" i="1"/>
  <c r="H1495" i="1"/>
  <c r="I1495" i="1"/>
  <c r="J1495" i="1"/>
  <c r="L1495" i="1"/>
  <c r="M1495" i="1"/>
  <c r="V1495" i="1"/>
  <c r="AE1495" i="1"/>
  <c r="C1496" i="1"/>
  <c r="E1496" i="1"/>
  <c r="F1496" i="1"/>
  <c r="H1496" i="1"/>
  <c r="I1496" i="1"/>
  <c r="J1496" i="1"/>
  <c r="L1496" i="1"/>
  <c r="M1496" i="1"/>
  <c r="V1496" i="1"/>
  <c r="AE1496" i="1"/>
  <c r="C1497" i="1"/>
  <c r="E1497" i="1"/>
  <c r="F1497" i="1"/>
  <c r="H1497" i="1"/>
  <c r="I1497" i="1"/>
  <c r="J1497" i="1"/>
  <c r="L1497" i="1"/>
  <c r="M1497" i="1"/>
  <c r="V1497" i="1"/>
  <c r="AE1497" i="1"/>
  <c r="C1498" i="1"/>
  <c r="E1498" i="1"/>
  <c r="F1498" i="1"/>
  <c r="H1498" i="1"/>
  <c r="I1498" i="1"/>
  <c r="J1498" i="1"/>
  <c r="L1498" i="1"/>
  <c r="M1498" i="1"/>
  <c r="V1498" i="1"/>
  <c r="AE1498" i="1"/>
  <c r="C1499" i="1"/>
  <c r="E1499" i="1"/>
  <c r="F1499" i="1"/>
  <c r="H1499" i="1"/>
  <c r="I1499" i="1"/>
  <c r="J1499" i="1"/>
  <c r="L1499" i="1"/>
  <c r="M1499" i="1"/>
  <c r="V1499" i="1"/>
  <c r="AE1499" i="1"/>
  <c r="C1500" i="1"/>
  <c r="E1500" i="1"/>
  <c r="F1500" i="1"/>
  <c r="H1500" i="1"/>
  <c r="I1500" i="1"/>
  <c r="J1500" i="1"/>
  <c r="L1500" i="1"/>
  <c r="M1500" i="1"/>
  <c r="V1500" i="1"/>
  <c r="AE1500" i="1"/>
  <c r="C1501" i="1"/>
  <c r="E1501" i="1"/>
  <c r="F1501" i="1"/>
  <c r="H1501" i="1"/>
  <c r="I1501" i="1"/>
  <c r="J1501" i="1"/>
  <c r="L1501" i="1"/>
  <c r="M1501" i="1"/>
  <c r="V1501" i="1"/>
  <c r="AE1501" i="1"/>
  <c r="C1502" i="1"/>
  <c r="E1502" i="1"/>
  <c r="F1502" i="1"/>
  <c r="H1502" i="1"/>
  <c r="I1502" i="1"/>
  <c r="J1502" i="1"/>
  <c r="L1502" i="1"/>
  <c r="M1502" i="1"/>
  <c r="V1502" i="1"/>
  <c r="AE1502" i="1"/>
  <c r="C1503" i="1"/>
  <c r="E1503" i="1"/>
  <c r="F1503" i="1"/>
  <c r="H1503" i="1"/>
  <c r="I1503" i="1"/>
  <c r="J1503" i="1"/>
  <c r="L1503" i="1"/>
  <c r="M1503" i="1"/>
  <c r="V1503" i="1"/>
  <c r="AE1503" i="1"/>
  <c r="C1504" i="1"/>
  <c r="E1504" i="1"/>
  <c r="F1504" i="1"/>
  <c r="H1504" i="1"/>
  <c r="I1504" i="1"/>
  <c r="J1504" i="1"/>
  <c r="L1504" i="1"/>
  <c r="M1504" i="1"/>
  <c r="V1504" i="1"/>
  <c r="AE1504" i="1"/>
  <c r="C1505" i="1"/>
  <c r="E1505" i="1"/>
  <c r="F1505" i="1"/>
  <c r="H1505" i="1"/>
  <c r="I1505" i="1"/>
  <c r="J1505" i="1"/>
  <c r="L1505" i="1"/>
  <c r="M1505" i="1"/>
  <c r="V1505" i="1"/>
  <c r="AE1505" i="1"/>
  <c r="C1506" i="1"/>
  <c r="E1506" i="1"/>
  <c r="F1506" i="1"/>
  <c r="H1506" i="1"/>
  <c r="I1506" i="1"/>
  <c r="J1506" i="1"/>
  <c r="L1506" i="1"/>
  <c r="M1506" i="1"/>
  <c r="V1506" i="1"/>
  <c r="AE1506" i="1"/>
  <c r="C1507" i="1"/>
  <c r="E1507" i="1"/>
  <c r="F1507" i="1"/>
  <c r="H1507" i="1"/>
  <c r="I1507" i="1"/>
  <c r="J1507" i="1"/>
  <c r="L1507" i="1"/>
  <c r="M1507" i="1"/>
  <c r="V1507" i="1"/>
  <c r="AE1507" i="1"/>
  <c r="C1508" i="1"/>
  <c r="E1508" i="1"/>
  <c r="F1508" i="1"/>
  <c r="H1508" i="1"/>
  <c r="I1508" i="1"/>
  <c r="J1508" i="1"/>
  <c r="L1508" i="1"/>
  <c r="M1508" i="1"/>
  <c r="V1508" i="1"/>
  <c r="AE1508" i="1"/>
  <c r="C1509" i="1"/>
  <c r="E1509" i="1"/>
  <c r="F1509" i="1"/>
  <c r="H1509" i="1"/>
  <c r="I1509" i="1"/>
  <c r="J1509" i="1"/>
  <c r="L1509" i="1"/>
  <c r="M1509" i="1"/>
  <c r="V1509" i="1"/>
  <c r="AE1509" i="1"/>
  <c r="C1510" i="1"/>
  <c r="E1510" i="1"/>
  <c r="F1510" i="1"/>
  <c r="H1510" i="1"/>
  <c r="I1510" i="1"/>
  <c r="J1510" i="1"/>
  <c r="L1510" i="1"/>
  <c r="M1510" i="1"/>
  <c r="V1510" i="1"/>
  <c r="AE1510" i="1"/>
  <c r="C1511" i="1"/>
  <c r="E1511" i="1"/>
  <c r="F1511" i="1"/>
  <c r="H1511" i="1"/>
  <c r="I1511" i="1"/>
  <c r="J1511" i="1"/>
  <c r="L1511" i="1"/>
  <c r="M1511" i="1"/>
  <c r="V1511" i="1"/>
  <c r="AE1511" i="1"/>
  <c r="C1512" i="1"/>
  <c r="E1512" i="1"/>
  <c r="F1512" i="1"/>
  <c r="H1512" i="1"/>
  <c r="I1512" i="1"/>
  <c r="J1512" i="1"/>
  <c r="L1512" i="1"/>
  <c r="M1512" i="1"/>
  <c r="V1512" i="1"/>
  <c r="AE1512" i="1"/>
  <c r="C1513" i="1"/>
  <c r="E1513" i="1"/>
  <c r="F1513" i="1"/>
  <c r="H1513" i="1"/>
  <c r="I1513" i="1"/>
  <c r="J1513" i="1"/>
  <c r="L1513" i="1"/>
  <c r="M1513" i="1"/>
  <c r="V1513" i="1"/>
  <c r="AE1513" i="1"/>
  <c r="C1514" i="1"/>
  <c r="E1514" i="1"/>
  <c r="F1514" i="1"/>
  <c r="H1514" i="1"/>
  <c r="I1514" i="1"/>
  <c r="J1514" i="1"/>
  <c r="L1514" i="1"/>
  <c r="M1514" i="1"/>
  <c r="V1514" i="1"/>
  <c r="AE1514" i="1"/>
  <c r="C1515" i="1"/>
  <c r="E1515" i="1"/>
  <c r="F1515" i="1"/>
  <c r="H1515" i="1"/>
  <c r="I1515" i="1"/>
  <c r="J1515" i="1"/>
  <c r="L1515" i="1"/>
  <c r="M1515" i="1"/>
  <c r="V1515" i="1"/>
  <c r="AE1515" i="1"/>
  <c r="C1516" i="1"/>
  <c r="E1516" i="1"/>
  <c r="F1516" i="1"/>
  <c r="H1516" i="1"/>
  <c r="I1516" i="1"/>
  <c r="J1516" i="1"/>
  <c r="L1516" i="1"/>
  <c r="M1516" i="1"/>
  <c r="V1516" i="1"/>
  <c r="AE1516" i="1"/>
  <c r="C1517" i="1"/>
  <c r="E1517" i="1"/>
  <c r="F1517" i="1"/>
  <c r="H1517" i="1"/>
  <c r="I1517" i="1"/>
  <c r="J1517" i="1"/>
  <c r="L1517" i="1"/>
  <c r="M1517" i="1"/>
  <c r="V1517" i="1"/>
  <c r="AE1517" i="1"/>
  <c r="C1518" i="1"/>
  <c r="E1518" i="1"/>
  <c r="F1518" i="1"/>
  <c r="H1518" i="1"/>
  <c r="I1518" i="1"/>
  <c r="J1518" i="1"/>
  <c r="L1518" i="1"/>
  <c r="M1518" i="1"/>
  <c r="V1518" i="1"/>
  <c r="AE1518" i="1"/>
  <c r="C1519" i="1"/>
  <c r="E1519" i="1"/>
  <c r="F1519" i="1"/>
  <c r="H1519" i="1"/>
  <c r="I1519" i="1"/>
  <c r="J1519" i="1"/>
  <c r="L1519" i="1"/>
  <c r="M1519" i="1"/>
  <c r="V1519" i="1"/>
  <c r="AE1519" i="1"/>
  <c r="C1520" i="1"/>
  <c r="E1520" i="1"/>
  <c r="F1520" i="1"/>
  <c r="H1520" i="1"/>
  <c r="I1520" i="1"/>
  <c r="J1520" i="1"/>
  <c r="L1520" i="1"/>
  <c r="M1520" i="1"/>
  <c r="V1520" i="1"/>
  <c r="AE1520" i="1"/>
  <c r="C1521" i="1"/>
  <c r="E1521" i="1"/>
  <c r="F1521" i="1"/>
  <c r="H1521" i="1"/>
  <c r="I1521" i="1"/>
  <c r="J1521" i="1"/>
  <c r="L1521" i="1"/>
  <c r="M1521" i="1"/>
  <c r="V1521" i="1"/>
  <c r="AE1521" i="1"/>
  <c r="C1522" i="1"/>
  <c r="E1522" i="1"/>
  <c r="F1522" i="1"/>
  <c r="H1522" i="1"/>
  <c r="I1522" i="1"/>
  <c r="J1522" i="1"/>
  <c r="L1522" i="1"/>
  <c r="M1522" i="1"/>
  <c r="V1522" i="1"/>
  <c r="AE1522" i="1"/>
  <c r="C1523" i="1"/>
  <c r="E1523" i="1"/>
  <c r="F1523" i="1"/>
  <c r="H1523" i="1"/>
  <c r="I1523" i="1"/>
  <c r="J1523" i="1"/>
  <c r="L1523" i="1"/>
  <c r="M1523" i="1"/>
  <c r="V1523" i="1"/>
  <c r="AE1523" i="1"/>
  <c r="C1524" i="1"/>
  <c r="E1524" i="1"/>
  <c r="F1524" i="1"/>
  <c r="H1524" i="1"/>
  <c r="I1524" i="1"/>
  <c r="J1524" i="1"/>
  <c r="L1524" i="1"/>
  <c r="M1524" i="1"/>
  <c r="V1524" i="1"/>
  <c r="AE1524" i="1"/>
  <c r="C1525" i="1"/>
  <c r="E1525" i="1"/>
  <c r="F1525" i="1"/>
  <c r="H1525" i="1"/>
  <c r="I1525" i="1"/>
  <c r="J1525" i="1"/>
  <c r="L1525" i="1"/>
  <c r="M1525" i="1"/>
  <c r="V1525" i="1"/>
  <c r="AE1525" i="1"/>
  <c r="C1526" i="1"/>
  <c r="E1526" i="1"/>
  <c r="F1526" i="1"/>
  <c r="H1526" i="1"/>
  <c r="I1526" i="1"/>
  <c r="J1526" i="1"/>
  <c r="L1526" i="1"/>
  <c r="M1526" i="1"/>
  <c r="V1526" i="1"/>
  <c r="AE1526" i="1"/>
  <c r="C1527" i="1"/>
  <c r="E1527" i="1"/>
  <c r="F1527" i="1"/>
  <c r="H1527" i="1"/>
  <c r="I1527" i="1"/>
  <c r="J1527" i="1"/>
  <c r="L1527" i="1"/>
  <c r="M1527" i="1"/>
  <c r="V1527" i="1"/>
  <c r="AE1527" i="1"/>
  <c r="C1528" i="1"/>
  <c r="E1528" i="1"/>
  <c r="F1528" i="1"/>
  <c r="H1528" i="1"/>
  <c r="I1528" i="1"/>
  <c r="J1528" i="1"/>
  <c r="L1528" i="1"/>
  <c r="M1528" i="1"/>
  <c r="V1528" i="1"/>
  <c r="AE1528" i="1"/>
  <c r="C1529" i="1"/>
  <c r="E1529" i="1"/>
  <c r="F1529" i="1"/>
  <c r="H1529" i="1"/>
  <c r="I1529" i="1"/>
  <c r="J1529" i="1"/>
  <c r="L1529" i="1"/>
  <c r="M1529" i="1"/>
  <c r="V1529" i="1"/>
  <c r="AE1529" i="1"/>
  <c r="C1530" i="1"/>
  <c r="E1530" i="1"/>
  <c r="F1530" i="1"/>
  <c r="H1530" i="1"/>
  <c r="I1530" i="1"/>
  <c r="J1530" i="1"/>
  <c r="L1530" i="1"/>
  <c r="M1530" i="1"/>
  <c r="V1530" i="1"/>
  <c r="AE1530" i="1"/>
  <c r="C1531" i="1"/>
  <c r="E1531" i="1"/>
  <c r="F1531" i="1"/>
  <c r="H1531" i="1"/>
  <c r="I1531" i="1"/>
  <c r="J1531" i="1"/>
  <c r="L1531" i="1"/>
  <c r="M1531" i="1"/>
  <c r="V1531" i="1"/>
  <c r="AE1531" i="1"/>
  <c r="C1532" i="1"/>
  <c r="E1532" i="1"/>
  <c r="F1532" i="1"/>
  <c r="H1532" i="1"/>
  <c r="I1532" i="1"/>
  <c r="J1532" i="1"/>
  <c r="L1532" i="1"/>
  <c r="M1532" i="1"/>
  <c r="V1532" i="1"/>
  <c r="AE1532" i="1"/>
  <c r="C1533" i="1"/>
  <c r="E1533" i="1"/>
  <c r="F1533" i="1"/>
  <c r="H1533" i="1"/>
  <c r="I1533" i="1"/>
  <c r="J1533" i="1"/>
  <c r="L1533" i="1"/>
  <c r="M1533" i="1"/>
  <c r="V1533" i="1"/>
  <c r="AE1533" i="1"/>
  <c r="C1534" i="1"/>
  <c r="E1534" i="1"/>
  <c r="F1534" i="1"/>
  <c r="H1534" i="1"/>
  <c r="I1534" i="1"/>
  <c r="J1534" i="1"/>
  <c r="L1534" i="1"/>
  <c r="M1534" i="1"/>
  <c r="V1534" i="1"/>
  <c r="AE1534" i="1"/>
  <c r="C1535" i="1"/>
  <c r="E1535" i="1"/>
  <c r="F1535" i="1"/>
  <c r="H1535" i="1"/>
  <c r="I1535" i="1"/>
  <c r="J1535" i="1"/>
  <c r="L1535" i="1"/>
  <c r="M1535" i="1"/>
  <c r="V1535" i="1"/>
  <c r="AE1535" i="1"/>
  <c r="C1536" i="1"/>
  <c r="E1536" i="1"/>
  <c r="F1536" i="1"/>
  <c r="H1536" i="1"/>
  <c r="I1536" i="1"/>
  <c r="J1536" i="1"/>
  <c r="L1536" i="1"/>
  <c r="M1536" i="1"/>
  <c r="V1536" i="1"/>
  <c r="AE1536" i="1"/>
  <c r="C1537" i="1"/>
  <c r="E1537" i="1"/>
  <c r="F1537" i="1"/>
  <c r="H1537" i="1"/>
  <c r="I1537" i="1"/>
  <c r="J1537" i="1"/>
  <c r="L1537" i="1"/>
  <c r="M1537" i="1"/>
  <c r="V1537" i="1"/>
  <c r="AE1537" i="1"/>
  <c r="C1538" i="1"/>
  <c r="E1538" i="1"/>
  <c r="F1538" i="1"/>
  <c r="H1538" i="1"/>
  <c r="I1538" i="1"/>
  <c r="J1538" i="1"/>
  <c r="L1538" i="1"/>
  <c r="M1538" i="1"/>
  <c r="V1538" i="1"/>
  <c r="AE1538" i="1"/>
  <c r="C1539" i="1"/>
  <c r="E1539" i="1"/>
  <c r="F1539" i="1"/>
  <c r="H1539" i="1"/>
  <c r="I1539" i="1"/>
  <c r="J1539" i="1"/>
  <c r="L1539" i="1"/>
  <c r="M1539" i="1"/>
  <c r="V1539" i="1"/>
  <c r="AE1539" i="1"/>
  <c r="C1540" i="1"/>
  <c r="E1540" i="1"/>
  <c r="F1540" i="1"/>
  <c r="H1540" i="1"/>
  <c r="I1540" i="1"/>
  <c r="J1540" i="1"/>
  <c r="L1540" i="1"/>
  <c r="M1540" i="1"/>
  <c r="V1540" i="1"/>
  <c r="AE1540" i="1"/>
  <c r="C1541" i="1"/>
  <c r="E1541" i="1"/>
  <c r="F1541" i="1"/>
  <c r="H1541" i="1"/>
  <c r="I1541" i="1"/>
  <c r="J1541" i="1"/>
  <c r="L1541" i="1"/>
  <c r="M1541" i="1"/>
  <c r="V1541" i="1"/>
  <c r="AE1541" i="1"/>
  <c r="C1542" i="1"/>
  <c r="E1542" i="1"/>
  <c r="F1542" i="1"/>
  <c r="H1542" i="1"/>
  <c r="I1542" i="1"/>
  <c r="J1542" i="1"/>
  <c r="L1542" i="1"/>
  <c r="M1542" i="1"/>
  <c r="V1542" i="1"/>
  <c r="AE1542" i="1"/>
  <c r="C1543" i="1"/>
  <c r="E1543" i="1"/>
  <c r="F1543" i="1"/>
  <c r="H1543" i="1"/>
  <c r="I1543" i="1"/>
  <c r="J1543" i="1"/>
  <c r="L1543" i="1"/>
  <c r="M1543" i="1"/>
  <c r="V1543" i="1"/>
  <c r="AE1543" i="1"/>
  <c r="C1544" i="1"/>
  <c r="E1544" i="1"/>
  <c r="F1544" i="1"/>
  <c r="H1544" i="1"/>
  <c r="I1544" i="1"/>
  <c r="J1544" i="1"/>
  <c r="L1544" i="1"/>
  <c r="M1544" i="1"/>
  <c r="V1544" i="1"/>
  <c r="AE1544" i="1"/>
  <c r="C1545" i="1"/>
  <c r="E1545" i="1"/>
  <c r="F1545" i="1"/>
  <c r="H1545" i="1"/>
  <c r="I1545" i="1"/>
  <c r="J1545" i="1"/>
  <c r="L1545" i="1"/>
  <c r="M1545" i="1"/>
  <c r="V1545" i="1"/>
  <c r="AE1545" i="1"/>
  <c r="C1546" i="1"/>
  <c r="E1546" i="1"/>
  <c r="F1546" i="1"/>
  <c r="H1546" i="1"/>
  <c r="I1546" i="1"/>
  <c r="J1546" i="1"/>
  <c r="L1546" i="1"/>
  <c r="M1546" i="1"/>
  <c r="V1546" i="1"/>
  <c r="AE1546" i="1"/>
  <c r="C1547" i="1"/>
  <c r="E1547" i="1"/>
  <c r="F1547" i="1"/>
  <c r="H1547" i="1"/>
  <c r="I1547" i="1"/>
  <c r="J1547" i="1"/>
  <c r="L1547" i="1"/>
  <c r="M1547" i="1"/>
  <c r="V1547" i="1"/>
  <c r="AE1547" i="1"/>
  <c r="C1548" i="1"/>
  <c r="E1548" i="1"/>
  <c r="F1548" i="1"/>
  <c r="H1548" i="1"/>
  <c r="I1548" i="1"/>
  <c r="J1548" i="1"/>
  <c r="L1548" i="1"/>
  <c r="M1548" i="1"/>
  <c r="V1548" i="1"/>
  <c r="AE1548" i="1"/>
  <c r="C1549" i="1"/>
  <c r="E1549" i="1"/>
  <c r="F1549" i="1"/>
  <c r="H1549" i="1"/>
  <c r="I1549" i="1"/>
  <c r="J1549" i="1"/>
  <c r="L1549" i="1"/>
  <c r="M1549" i="1"/>
  <c r="V1549" i="1"/>
  <c r="AE1549" i="1"/>
  <c r="C1550" i="1"/>
  <c r="E1550" i="1"/>
  <c r="F1550" i="1"/>
  <c r="H1550" i="1"/>
  <c r="I1550" i="1"/>
  <c r="J1550" i="1"/>
  <c r="L1550" i="1"/>
  <c r="M1550" i="1"/>
  <c r="V1550" i="1"/>
  <c r="AE1550" i="1"/>
  <c r="C1551" i="1"/>
  <c r="E1551" i="1"/>
  <c r="F1551" i="1"/>
  <c r="H1551" i="1"/>
  <c r="I1551" i="1"/>
  <c r="J1551" i="1"/>
  <c r="L1551" i="1"/>
  <c r="M1551" i="1"/>
  <c r="V1551" i="1"/>
  <c r="AE1551" i="1"/>
  <c r="C1552" i="1"/>
  <c r="E1552" i="1"/>
  <c r="F1552" i="1"/>
  <c r="H1552" i="1"/>
  <c r="I1552" i="1"/>
  <c r="J1552" i="1"/>
  <c r="L1552" i="1"/>
  <c r="M1552" i="1"/>
  <c r="V1552" i="1"/>
  <c r="AE1552" i="1"/>
  <c r="C1553" i="1"/>
  <c r="E1553" i="1"/>
  <c r="F1553" i="1"/>
  <c r="H1553" i="1"/>
  <c r="I1553" i="1"/>
  <c r="J1553" i="1"/>
  <c r="L1553" i="1"/>
  <c r="M1553" i="1"/>
  <c r="V1553" i="1"/>
  <c r="AE1553" i="1"/>
  <c r="C1554" i="1"/>
  <c r="E1554" i="1"/>
  <c r="F1554" i="1"/>
  <c r="H1554" i="1"/>
  <c r="I1554" i="1"/>
  <c r="J1554" i="1"/>
  <c r="L1554" i="1"/>
  <c r="M1554" i="1"/>
  <c r="V1554" i="1"/>
  <c r="AE1554" i="1"/>
  <c r="C1555" i="1"/>
  <c r="E1555" i="1"/>
  <c r="F1555" i="1"/>
  <c r="H1555" i="1"/>
  <c r="I1555" i="1"/>
  <c r="J1555" i="1"/>
  <c r="L1555" i="1"/>
  <c r="M1555" i="1"/>
  <c r="V1555" i="1"/>
  <c r="AE1555" i="1"/>
  <c r="C1556" i="1"/>
  <c r="E1556" i="1"/>
  <c r="F1556" i="1"/>
  <c r="H1556" i="1"/>
  <c r="I1556" i="1"/>
  <c r="J1556" i="1"/>
  <c r="L1556" i="1"/>
  <c r="M1556" i="1"/>
  <c r="V1556" i="1"/>
  <c r="AE1556" i="1"/>
  <c r="C1557" i="1"/>
  <c r="E1557" i="1"/>
  <c r="F1557" i="1"/>
  <c r="H1557" i="1"/>
  <c r="I1557" i="1"/>
  <c r="J1557" i="1"/>
  <c r="L1557" i="1"/>
  <c r="M1557" i="1"/>
  <c r="V1557" i="1"/>
  <c r="AE1557" i="1"/>
  <c r="C1558" i="1"/>
  <c r="E1558" i="1"/>
  <c r="F1558" i="1"/>
  <c r="H1558" i="1"/>
  <c r="I1558" i="1"/>
  <c r="J1558" i="1"/>
  <c r="L1558" i="1"/>
  <c r="M1558" i="1"/>
  <c r="V1558" i="1"/>
  <c r="AE1558" i="1"/>
  <c r="C1559" i="1"/>
  <c r="E1559" i="1"/>
  <c r="F1559" i="1"/>
  <c r="H1559" i="1"/>
  <c r="I1559" i="1"/>
  <c r="J1559" i="1"/>
  <c r="L1559" i="1"/>
  <c r="M1559" i="1"/>
  <c r="V1559" i="1"/>
  <c r="AE1559" i="1"/>
  <c r="C1560" i="1"/>
  <c r="E1560" i="1"/>
  <c r="F1560" i="1"/>
  <c r="H1560" i="1"/>
  <c r="I1560" i="1"/>
  <c r="J1560" i="1"/>
  <c r="L1560" i="1"/>
  <c r="M1560" i="1"/>
  <c r="V1560" i="1"/>
  <c r="AE1560" i="1"/>
  <c r="C1561" i="1"/>
  <c r="E1561" i="1"/>
  <c r="F1561" i="1"/>
  <c r="H1561" i="1"/>
  <c r="I1561" i="1"/>
  <c r="J1561" i="1"/>
  <c r="L1561" i="1"/>
  <c r="M1561" i="1"/>
  <c r="V1561" i="1"/>
  <c r="AE1561" i="1"/>
  <c r="C1562" i="1"/>
  <c r="E1562" i="1"/>
  <c r="F1562" i="1"/>
  <c r="H1562" i="1"/>
  <c r="I1562" i="1"/>
  <c r="J1562" i="1"/>
  <c r="L1562" i="1"/>
  <c r="M1562" i="1"/>
  <c r="V1562" i="1"/>
  <c r="AE1562" i="1"/>
  <c r="C1563" i="1"/>
  <c r="E1563" i="1"/>
  <c r="F1563" i="1"/>
  <c r="H1563" i="1"/>
  <c r="I1563" i="1"/>
  <c r="J1563" i="1"/>
  <c r="L1563" i="1"/>
  <c r="M1563" i="1"/>
  <c r="V1563" i="1"/>
  <c r="AE1563" i="1"/>
  <c r="C1564" i="1"/>
  <c r="E1564" i="1"/>
  <c r="F1564" i="1"/>
  <c r="H1564" i="1"/>
  <c r="I1564" i="1"/>
  <c r="J1564" i="1"/>
  <c r="L1564" i="1"/>
  <c r="M1564" i="1"/>
  <c r="V1564" i="1"/>
  <c r="AE1564" i="1"/>
  <c r="C1565" i="1"/>
  <c r="E1565" i="1"/>
  <c r="F1565" i="1"/>
  <c r="H1565" i="1"/>
  <c r="I1565" i="1"/>
  <c r="J1565" i="1"/>
  <c r="L1565" i="1"/>
  <c r="M1565" i="1"/>
  <c r="V1565" i="1"/>
  <c r="AE1565" i="1"/>
  <c r="C1566" i="1"/>
  <c r="E1566" i="1"/>
  <c r="F1566" i="1"/>
  <c r="H1566" i="1"/>
  <c r="I1566" i="1"/>
  <c r="J1566" i="1"/>
  <c r="L1566" i="1"/>
  <c r="M1566" i="1"/>
  <c r="V1566" i="1"/>
  <c r="AE1566" i="1"/>
  <c r="C1567" i="1"/>
  <c r="E1567" i="1"/>
  <c r="F1567" i="1"/>
  <c r="H1567" i="1"/>
  <c r="I1567" i="1"/>
  <c r="J1567" i="1"/>
  <c r="L1567" i="1"/>
  <c r="M1567" i="1"/>
  <c r="V1567" i="1"/>
  <c r="AE1567" i="1"/>
  <c r="C1568" i="1"/>
  <c r="E1568" i="1"/>
  <c r="F1568" i="1"/>
  <c r="H1568" i="1"/>
  <c r="I1568" i="1"/>
  <c r="J1568" i="1"/>
  <c r="L1568" i="1"/>
  <c r="M1568" i="1"/>
  <c r="V1568" i="1"/>
  <c r="AE1568" i="1"/>
  <c r="C1569" i="1"/>
  <c r="E1569" i="1"/>
  <c r="F1569" i="1"/>
  <c r="H1569" i="1"/>
  <c r="I1569" i="1"/>
  <c r="J1569" i="1"/>
  <c r="L1569" i="1"/>
  <c r="M1569" i="1"/>
  <c r="V1569" i="1"/>
  <c r="AE1569" i="1"/>
  <c r="C1570" i="1"/>
  <c r="E1570" i="1"/>
  <c r="F1570" i="1"/>
  <c r="H1570" i="1"/>
  <c r="I1570" i="1"/>
  <c r="J1570" i="1"/>
  <c r="L1570" i="1"/>
  <c r="M1570" i="1"/>
  <c r="V1570" i="1"/>
  <c r="AE1570" i="1"/>
  <c r="C1571" i="1"/>
  <c r="E1571" i="1"/>
  <c r="F1571" i="1"/>
  <c r="H1571" i="1"/>
  <c r="I1571" i="1"/>
  <c r="J1571" i="1"/>
  <c r="L1571" i="1"/>
  <c r="M1571" i="1"/>
  <c r="V1571" i="1"/>
  <c r="AE1571" i="1"/>
  <c r="C1572" i="1"/>
  <c r="E1572" i="1"/>
  <c r="F1572" i="1"/>
  <c r="H1572" i="1"/>
  <c r="I1572" i="1"/>
  <c r="J1572" i="1"/>
  <c r="L1572" i="1"/>
  <c r="M1572" i="1"/>
  <c r="V1572" i="1"/>
  <c r="AE1572" i="1"/>
  <c r="C1573" i="1"/>
  <c r="E1573" i="1"/>
  <c r="F1573" i="1"/>
  <c r="H1573" i="1"/>
  <c r="I1573" i="1"/>
  <c r="J1573" i="1"/>
  <c r="L1573" i="1"/>
  <c r="M1573" i="1"/>
  <c r="V1573" i="1"/>
  <c r="AE1573" i="1"/>
  <c r="C1574" i="1"/>
  <c r="E1574" i="1"/>
  <c r="F1574" i="1"/>
  <c r="H1574" i="1"/>
  <c r="I1574" i="1"/>
  <c r="J1574" i="1"/>
  <c r="L1574" i="1"/>
  <c r="M1574" i="1"/>
  <c r="V1574" i="1"/>
  <c r="AE1574" i="1"/>
  <c r="C1575" i="1"/>
  <c r="E1575" i="1"/>
  <c r="F1575" i="1"/>
  <c r="H1575" i="1"/>
  <c r="I1575" i="1"/>
  <c r="J1575" i="1"/>
  <c r="L1575" i="1"/>
  <c r="M1575" i="1"/>
  <c r="V1575" i="1"/>
  <c r="AE1575" i="1"/>
  <c r="C1576" i="1"/>
  <c r="E1576" i="1"/>
  <c r="F1576" i="1"/>
  <c r="H1576" i="1"/>
  <c r="I1576" i="1"/>
  <c r="J1576" i="1"/>
  <c r="L1576" i="1"/>
  <c r="M1576" i="1"/>
  <c r="V1576" i="1"/>
  <c r="AE1576" i="1"/>
  <c r="C1577" i="1"/>
  <c r="E1577" i="1"/>
  <c r="F1577" i="1"/>
  <c r="H1577" i="1"/>
  <c r="I1577" i="1"/>
  <c r="J1577" i="1"/>
  <c r="L1577" i="1"/>
  <c r="M1577" i="1"/>
  <c r="V1577" i="1"/>
  <c r="AE1577" i="1"/>
  <c r="C1578" i="1"/>
  <c r="E1578" i="1"/>
  <c r="F1578" i="1"/>
  <c r="H1578" i="1"/>
  <c r="I1578" i="1"/>
  <c r="J1578" i="1"/>
  <c r="L1578" i="1"/>
  <c r="M1578" i="1"/>
  <c r="V1578" i="1"/>
  <c r="AE1578" i="1"/>
  <c r="C1579" i="1"/>
  <c r="E1579" i="1"/>
  <c r="F1579" i="1"/>
  <c r="H1579" i="1"/>
  <c r="I1579" i="1"/>
  <c r="J1579" i="1"/>
  <c r="L1579" i="1"/>
  <c r="M1579" i="1"/>
  <c r="V1579" i="1"/>
  <c r="AE1579" i="1"/>
  <c r="C1580" i="1"/>
  <c r="E1580" i="1"/>
  <c r="F1580" i="1"/>
  <c r="H1580" i="1"/>
  <c r="I1580" i="1"/>
  <c r="J1580" i="1"/>
  <c r="L1580" i="1"/>
  <c r="M1580" i="1"/>
  <c r="V1580" i="1"/>
  <c r="AE1580" i="1"/>
  <c r="C1581" i="1"/>
  <c r="E1581" i="1"/>
  <c r="F1581" i="1"/>
  <c r="H1581" i="1"/>
  <c r="I1581" i="1"/>
  <c r="J1581" i="1"/>
  <c r="L1581" i="1"/>
  <c r="M1581" i="1"/>
  <c r="V1581" i="1"/>
  <c r="AE1581" i="1"/>
  <c r="C1582" i="1"/>
  <c r="E1582" i="1"/>
  <c r="F1582" i="1"/>
  <c r="H1582" i="1"/>
  <c r="I1582" i="1"/>
  <c r="J1582" i="1"/>
  <c r="L1582" i="1"/>
  <c r="M1582" i="1"/>
  <c r="V1582" i="1"/>
  <c r="AE1582" i="1"/>
  <c r="C1583" i="1"/>
  <c r="E1583" i="1"/>
  <c r="F1583" i="1"/>
  <c r="H1583" i="1"/>
  <c r="I1583" i="1"/>
  <c r="J1583" i="1"/>
  <c r="L1583" i="1"/>
  <c r="M1583" i="1"/>
  <c r="V1583" i="1"/>
  <c r="AE1583" i="1"/>
  <c r="C1584" i="1"/>
  <c r="E1584" i="1"/>
  <c r="F1584" i="1"/>
  <c r="H1584" i="1"/>
  <c r="I1584" i="1"/>
  <c r="J1584" i="1"/>
  <c r="L1584" i="1"/>
  <c r="M1584" i="1"/>
  <c r="V1584" i="1"/>
  <c r="AE1584" i="1"/>
  <c r="C1585" i="1"/>
  <c r="E1585" i="1"/>
  <c r="F1585" i="1"/>
  <c r="H1585" i="1"/>
  <c r="I1585" i="1"/>
  <c r="J1585" i="1"/>
  <c r="L1585" i="1"/>
  <c r="M1585" i="1"/>
  <c r="V1585" i="1"/>
  <c r="AE1585" i="1"/>
  <c r="C1586" i="1"/>
  <c r="E1586" i="1"/>
  <c r="F1586" i="1"/>
  <c r="H1586" i="1"/>
  <c r="I1586" i="1"/>
  <c r="J1586" i="1"/>
  <c r="L1586" i="1"/>
  <c r="M1586" i="1"/>
  <c r="V1586" i="1"/>
  <c r="AE1586" i="1"/>
  <c r="C1587" i="1"/>
  <c r="E1587" i="1"/>
  <c r="F1587" i="1"/>
  <c r="H1587" i="1"/>
  <c r="I1587" i="1"/>
  <c r="J1587" i="1"/>
  <c r="L1587" i="1"/>
  <c r="M1587" i="1"/>
  <c r="V1587" i="1"/>
  <c r="AE1587" i="1"/>
  <c r="C1588" i="1"/>
  <c r="E1588" i="1"/>
  <c r="F1588" i="1"/>
  <c r="H1588" i="1"/>
  <c r="I1588" i="1"/>
  <c r="J1588" i="1"/>
  <c r="L1588" i="1"/>
  <c r="M1588" i="1"/>
  <c r="V1588" i="1"/>
  <c r="AE1588" i="1"/>
  <c r="C1589" i="1"/>
  <c r="E1589" i="1"/>
  <c r="F1589" i="1"/>
  <c r="H1589" i="1"/>
  <c r="I1589" i="1"/>
  <c r="J1589" i="1"/>
  <c r="L1589" i="1"/>
  <c r="M1589" i="1"/>
  <c r="V1589" i="1"/>
  <c r="AE1589" i="1"/>
  <c r="C1590" i="1"/>
  <c r="E1590" i="1"/>
  <c r="F1590" i="1"/>
  <c r="H1590" i="1"/>
  <c r="I1590" i="1"/>
  <c r="J1590" i="1"/>
  <c r="L1590" i="1"/>
  <c r="M1590" i="1"/>
  <c r="V1590" i="1"/>
  <c r="AE1590" i="1"/>
  <c r="C1591" i="1"/>
  <c r="E1591" i="1"/>
  <c r="F1591" i="1"/>
  <c r="H1591" i="1"/>
  <c r="I1591" i="1"/>
  <c r="J1591" i="1"/>
  <c r="L1591" i="1"/>
  <c r="M1591" i="1"/>
  <c r="V1591" i="1"/>
  <c r="AE1591" i="1"/>
  <c r="C1592" i="1"/>
  <c r="E1592" i="1"/>
  <c r="F1592" i="1"/>
  <c r="H1592" i="1"/>
  <c r="I1592" i="1"/>
  <c r="J1592" i="1"/>
  <c r="L1592" i="1"/>
  <c r="M1592" i="1"/>
  <c r="V1592" i="1"/>
  <c r="AE1592" i="1"/>
  <c r="C1593" i="1"/>
  <c r="E1593" i="1"/>
  <c r="F1593" i="1"/>
  <c r="H1593" i="1"/>
  <c r="I1593" i="1"/>
  <c r="J1593" i="1"/>
  <c r="L1593" i="1"/>
  <c r="M1593" i="1"/>
  <c r="V1593" i="1"/>
  <c r="AE1593" i="1"/>
  <c r="C1594" i="1"/>
  <c r="E1594" i="1"/>
  <c r="F1594" i="1"/>
  <c r="H1594" i="1"/>
  <c r="I1594" i="1"/>
  <c r="J1594" i="1"/>
  <c r="L1594" i="1"/>
  <c r="M1594" i="1"/>
  <c r="V1594" i="1"/>
  <c r="AE1594" i="1"/>
  <c r="C1595" i="1"/>
  <c r="E1595" i="1"/>
  <c r="F1595" i="1"/>
  <c r="H1595" i="1"/>
  <c r="I1595" i="1"/>
  <c r="J1595" i="1"/>
  <c r="L1595" i="1"/>
  <c r="M1595" i="1"/>
  <c r="V1595" i="1"/>
  <c r="AE1595" i="1"/>
  <c r="C1596" i="1"/>
  <c r="E1596" i="1"/>
  <c r="F1596" i="1"/>
  <c r="H1596" i="1"/>
  <c r="I1596" i="1"/>
  <c r="J1596" i="1"/>
  <c r="L1596" i="1"/>
  <c r="M1596" i="1"/>
  <c r="V1596" i="1"/>
  <c r="AE1596" i="1"/>
  <c r="C1597" i="1"/>
  <c r="E1597" i="1"/>
  <c r="F1597" i="1"/>
  <c r="H1597" i="1"/>
  <c r="I1597" i="1"/>
  <c r="J1597" i="1"/>
  <c r="L1597" i="1"/>
  <c r="M1597" i="1"/>
  <c r="V1597" i="1"/>
  <c r="AE1597" i="1"/>
  <c r="C1598" i="1"/>
  <c r="E1598" i="1"/>
  <c r="F1598" i="1"/>
  <c r="H1598" i="1"/>
  <c r="I1598" i="1"/>
  <c r="J1598" i="1"/>
  <c r="L1598" i="1"/>
  <c r="M1598" i="1"/>
  <c r="V1598" i="1"/>
  <c r="AE1598" i="1"/>
  <c r="C1599" i="1"/>
  <c r="E1599" i="1"/>
  <c r="F1599" i="1"/>
  <c r="H1599" i="1"/>
  <c r="I1599" i="1"/>
  <c r="J1599" i="1"/>
  <c r="L1599" i="1"/>
  <c r="M1599" i="1"/>
  <c r="V1599" i="1"/>
  <c r="AE1599" i="1"/>
  <c r="C1600" i="1"/>
  <c r="E1600" i="1"/>
  <c r="F1600" i="1"/>
  <c r="H1600" i="1"/>
  <c r="I1600" i="1"/>
  <c r="J1600" i="1"/>
  <c r="L1600" i="1"/>
  <c r="M1600" i="1"/>
  <c r="V1600" i="1"/>
  <c r="AE1600" i="1"/>
  <c r="C1601" i="1"/>
  <c r="E1601" i="1"/>
  <c r="F1601" i="1"/>
  <c r="H1601" i="1"/>
  <c r="I1601" i="1"/>
  <c r="J1601" i="1"/>
  <c r="L1601" i="1"/>
  <c r="M1601" i="1"/>
  <c r="V1601" i="1"/>
  <c r="AE1601" i="1"/>
  <c r="C1602" i="1"/>
  <c r="E1602" i="1"/>
  <c r="F1602" i="1"/>
  <c r="H1602" i="1"/>
  <c r="I1602" i="1"/>
  <c r="J1602" i="1"/>
  <c r="L1602" i="1"/>
  <c r="M1602" i="1"/>
  <c r="V1602" i="1"/>
  <c r="AE1602" i="1"/>
  <c r="C1603" i="1"/>
  <c r="E1603" i="1"/>
  <c r="F1603" i="1"/>
  <c r="H1603" i="1"/>
  <c r="I1603" i="1"/>
  <c r="J1603" i="1"/>
  <c r="L1603" i="1"/>
  <c r="M1603" i="1"/>
  <c r="V1603" i="1"/>
  <c r="AE1603" i="1"/>
  <c r="C1604" i="1"/>
  <c r="E1604" i="1"/>
  <c r="F1604" i="1"/>
  <c r="H1604" i="1"/>
  <c r="I1604" i="1"/>
  <c r="J1604" i="1"/>
  <c r="L1604" i="1"/>
  <c r="M1604" i="1"/>
  <c r="V1604" i="1"/>
  <c r="AE1604" i="1"/>
  <c r="C1605" i="1"/>
  <c r="E1605" i="1"/>
  <c r="F1605" i="1"/>
  <c r="H1605" i="1"/>
  <c r="I1605" i="1"/>
  <c r="J1605" i="1"/>
  <c r="L1605" i="1"/>
  <c r="M1605" i="1"/>
  <c r="V1605" i="1"/>
  <c r="AE1605" i="1"/>
  <c r="C1606" i="1"/>
  <c r="E1606" i="1"/>
  <c r="F1606" i="1"/>
  <c r="H1606" i="1"/>
  <c r="I1606" i="1"/>
  <c r="J1606" i="1"/>
  <c r="L1606" i="1"/>
  <c r="M1606" i="1"/>
  <c r="V1606" i="1"/>
  <c r="AE1606" i="1"/>
  <c r="C1607" i="1"/>
  <c r="E1607" i="1"/>
  <c r="F1607" i="1"/>
  <c r="H1607" i="1"/>
  <c r="I1607" i="1"/>
  <c r="J1607" i="1"/>
  <c r="L1607" i="1"/>
  <c r="M1607" i="1"/>
  <c r="V1607" i="1"/>
  <c r="AE1607" i="1"/>
  <c r="C1608" i="1"/>
  <c r="E1608" i="1"/>
  <c r="F1608" i="1"/>
  <c r="H1608" i="1"/>
  <c r="I1608" i="1"/>
  <c r="J1608" i="1"/>
  <c r="L1608" i="1"/>
  <c r="M1608" i="1"/>
  <c r="V1608" i="1"/>
  <c r="AE1608" i="1"/>
  <c r="C1609" i="1"/>
  <c r="E1609" i="1"/>
  <c r="F1609" i="1"/>
  <c r="H1609" i="1"/>
  <c r="I1609" i="1"/>
  <c r="J1609" i="1"/>
  <c r="L1609" i="1"/>
  <c r="M1609" i="1"/>
  <c r="V1609" i="1"/>
  <c r="AE1609" i="1"/>
  <c r="C1610" i="1"/>
  <c r="E1610" i="1"/>
  <c r="F1610" i="1"/>
  <c r="H1610" i="1"/>
  <c r="I1610" i="1"/>
  <c r="J1610" i="1"/>
  <c r="L1610" i="1"/>
  <c r="M1610" i="1"/>
  <c r="V1610" i="1"/>
  <c r="AE1610" i="1"/>
  <c r="C1611" i="1"/>
  <c r="E1611" i="1"/>
  <c r="F1611" i="1"/>
  <c r="H1611" i="1"/>
  <c r="I1611" i="1"/>
  <c r="J1611" i="1"/>
  <c r="L1611" i="1"/>
  <c r="M1611" i="1"/>
  <c r="V1611" i="1"/>
  <c r="AE1611" i="1"/>
  <c r="C1612" i="1"/>
  <c r="E1612" i="1"/>
  <c r="F1612" i="1"/>
  <c r="H1612" i="1"/>
  <c r="I1612" i="1"/>
  <c r="J1612" i="1"/>
  <c r="L1612" i="1"/>
  <c r="M1612" i="1"/>
  <c r="V1612" i="1"/>
  <c r="AE1612" i="1"/>
  <c r="C1613" i="1"/>
  <c r="E1613" i="1"/>
  <c r="F1613" i="1"/>
  <c r="H1613" i="1"/>
  <c r="I1613" i="1"/>
  <c r="J1613" i="1"/>
  <c r="L1613" i="1"/>
  <c r="M1613" i="1"/>
  <c r="V1613" i="1"/>
  <c r="AE1613" i="1"/>
  <c r="C1614" i="1"/>
  <c r="E1614" i="1"/>
  <c r="F1614" i="1"/>
  <c r="H1614" i="1"/>
  <c r="I1614" i="1"/>
  <c r="J1614" i="1"/>
  <c r="L1614" i="1"/>
  <c r="M1614" i="1"/>
  <c r="V1614" i="1"/>
  <c r="AE1614" i="1"/>
  <c r="C1615" i="1"/>
  <c r="E1615" i="1"/>
  <c r="F1615" i="1"/>
  <c r="H1615" i="1"/>
  <c r="I1615" i="1"/>
  <c r="J1615" i="1"/>
  <c r="L1615" i="1"/>
  <c r="M1615" i="1"/>
  <c r="V1615" i="1"/>
  <c r="AE1615" i="1"/>
  <c r="C1616" i="1"/>
  <c r="E1616" i="1"/>
  <c r="F1616" i="1"/>
  <c r="H1616" i="1"/>
  <c r="I1616" i="1"/>
  <c r="J1616" i="1"/>
  <c r="L1616" i="1"/>
  <c r="M1616" i="1"/>
  <c r="V1616" i="1"/>
  <c r="AE1616" i="1"/>
  <c r="C1617" i="1"/>
  <c r="E1617" i="1"/>
  <c r="F1617" i="1"/>
  <c r="H1617" i="1"/>
  <c r="I1617" i="1"/>
  <c r="J1617" i="1"/>
  <c r="L1617" i="1"/>
  <c r="M1617" i="1"/>
  <c r="V1617" i="1"/>
  <c r="AE1617" i="1"/>
  <c r="C1618" i="1"/>
  <c r="E1618" i="1"/>
  <c r="F1618" i="1"/>
  <c r="H1618" i="1"/>
  <c r="I1618" i="1"/>
  <c r="J1618" i="1"/>
  <c r="L1618" i="1"/>
  <c r="M1618" i="1"/>
  <c r="V1618" i="1"/>
  <c r="AE1618" i="1"/>
  <c r="C1619" i="1"/>
  <c r="E1619" i="1"/>
  <c r="F1619" i="1"/>
  <c r="H1619" i="1"/>
  <c r="I1619" i="1"/>
  <c r="J1619" i="1"/>
  <c r="L1619" i="1"/>
  <c r="M1619" i="1"/>
  <c r="V1619" i="1"/>
  <c r="AE1619" i="1"/>
  <c r="C1620" i="1"/>
  <c r="E1620" i="1"/>
  <c r="F1620" i="1"/>
  <c r="H1620" i="1"/>
  <c r="I1620" i="1"/>
  <c r="J1620" i="1"/>
  <c r="L1620" i="1"/>
  <c r="M1620" i="1"/>
  <c r="V1620" i="1"/>
  <c r="AE1620" i="1"/>
  <c r="C1621" i="1"/>
  <c r="E1621" i="1"/>
  <c r="F1621" i="1"/>
  <c r="H1621" i="1"/>
  <c r="I1621" i="1"/>
  <c r="J1621" i="1"/>
  <c r="L1621" i="1"/>
  <c r="M1621" i="1"/>
  <c r="V1621" i="1"/>
  <c r="AE1621" i="1"/>
  <c r="C1622" i="1"/>
  <c r="E1622" i="1"/>
  <c r="F1622" i="1"/>
  <c r="H1622" i="1"/>
  <c r="I1622" i="1"/>
  <c r="J1622" i="1"/>
  <c r="L1622" i="1"/>
  <c r="M1622" i="1"/>
  <c r="V1622" i="1"/>
  <c r="AE1622" i="1"/>
  <c r="C1623" i="1"/>
  <c r="E1623" i="1"/>
  <c r="F1623" i="1"/>
  <c r="H1623" i="1"/>
  <c r="I1623" i="1"/>
  <c r="J1623" i="1"/>
  <c r="L1623" i="1"/>
  <c r="M1623" i="1"/>
  <c r="V1623" i="1"/>
  <c r="AE1623" i="1"/>
  <c r="C1624" i="1"/>
  <c r="E1624" i="1"/>
  <c r="F1624" i="1"/>
  <c r="H1624" i="1"/>
  <c r="I1624" i="1"/>
  <c r="J1624" i="1"/>
  <c r="L1624" i="1"/>
  <c r="M1624" i="1"/>
  <c r="V1624" i="1"/>
  <c r="AE1624" i="1"/>
  <c r="C1625" i="1"/>
  <c r="E1625" i="1"/>
  <c r="F1625" i="1"/>
  <c r="H1625" i="1"/>
  <c r="I1625" i="1"/>
  <c r="J1625" i="1"/>
  <c r="L1625" i="1"/>
  <c r="M1625" i="1"/>
  <c r="V1625" i="1"/>
  <c r="AE1625" i="1"/>
  <c r="C1626" i="1"/>
  <c r="E1626" i="1"/>
  <c r="F1626" i="1"/>
  <c r="H1626" i="1"/>
  <c r="I1626" i="1"/>
  <c r="J1626" i="1"/>
  <c r="L1626" i="1"/>
  <c r="M1626" i="1"/>
  <c r="V1626" i="1"/>
  <c r="AE1626" i="1"/>
  <c r="C1627" i="1"/>
  <c r="E1627" i="1"/>
  <c r="F1627" i="1"/>
  <c r="H1627" i="1"/>
  <c r="I1627" i="1"/>
  <c r="J1627" i="1"/>
  <c r="L1627" i="1"/>
  <c r="M1627" i="1"/>
  <c r="V1627" i="1"/>
  <c r="AE1627" i="1"/>
  <c r="C1628" i="1"/>
  <c r="E1628" i="1"/>
  <c r="F1628" i="1"/>
  <c r="H1628" i="1"/>
  <c r="I1628" i="1"/>
  <c r="J1628" i="1"/>
  <c r="L1628" i="1"/>
  <c r="M1628" i="1"/>
  <c r="V1628" i="1"/>
  <c r="AE1628" i="1"/>
  <c r="C1629" i="1"/>
  <c r="E1629" i="1"/>
  <c r="F1629" i="1"/>
  <c r="H1629" i="1"/>
  <c r="I1629" i="1"/>
  <c r="J1629" i="1"/>
  <c r="L1629" i="1"/>
  <c r="M1629" i="1"/>
  <c r="V1629" i="1"/>
  <c r="AE1629" i="1"/>
  <c r="C1630" i="1"/>
  <c r="E1630" i="1"/>
  <c r="F1630" i="1"/>
  <c r="H1630" i="1"/>
  <c r="I1630" i="1"/>
  <c r="J1630" i="1"/>
  <c r="L1630" i="1"/>
  <c r="M1630" i="1"/>
  <c r="V1630" i="1"/>
  <c r="AE1630" i="1"/>
  <c r="C1631" i="1"/>
  <c r="E1631" i="1"/>
  <c r="F1631" i="1"/>
  <c r="H1631" i="1"/>
  <c r="I1631" i="1"/>
  <c r="J1631" i="1"/>
  <c r="L1631" i="1"/>
  <c r="M1631" i="1"/>
  <c r="V1631" i="1"/>
  <c r="AE1631" i="1"/>
  <c r="C1632" i="1"/>
  <c r="E1632" i="1"/>
  <c r="F1632" i="1"/>
  <c r="H1632" i="1"/>
  <c r="I1632" i="1"/>
  <c r="J1632" i="1"/>
  <c r="L1632" i="1"/>
  <c r="M1632" i="1"/>
  <c r="V1632" i="1"/>
  <c r="AE1632" i="1"/>
  <c r="C1633" i="1"/>
  <c r="E1633" i="1"/>
  <c r="F1633" i="1"/>
  <c r="H1633" i="1"/>
  <c r="I1633" i="1"/>
  <c r="J1633" i="1"/>
  <c r="L1633" i="1"/>
  <c r="M1633" i="1"/>
  <c r="V1633" i="1"/>
  <c r="AE1633" i="1"/>
  <c r="C1634" i="1"/>
  <c r="E1634" i="1"/>
  <c r="F1634" i="1"/>
  <c r="H1634" i="1"/>
  <c r="I1634" i="1"/>
  <c r="J1634" i="1"/>
  <c r="L1634" i="1"/>
  <c r="M1634" i="1"/>
  <c r="V1634" i="1"/>
  <c r="AE1634" i="1"/>
  <c r="C1635" i="1"/>
  <c r="E1635" i="1"/>
  <c r="F1635" i="1"/>
  <c r="H1635" i="1"/>
  <c r="I1635" i="1"/>
  <c r="J1635" i="1"/>
  <c r="L1635" i="1"/>
  <c r="M1635" i="1"/>
  <c r="V1635" i="1"/>
  <c r="AE1635" i="1"/>
  <c r="C1636" i="1"/>
  <c r="E1636" i="1"/>
  <c r="F1636" i="1"/>
  <c r="H1636" i="1"/>
  <c r="I1636" i="1"/>
  <c r="J1636" i="1"/>
  <c r="L1636" i="1"/>
  <c r="M1636" i="1"/>
  <c r="V1636" i="1"/>
  <c r="AE1636" i="1"/>
  <c r="C1637" i="1"/>
  <c r="E1637" i="1"/>
  <c r="F1637" i="1"/>
  <c r="H1637" i="1"/>
  <c r="I1637" i="1"/>
  <c r="J1637" i="1"/>
  <c r="L1637" i="1"/>
  <c r="M1637" i="1"/>
  <c r="V1637" i="1"/>
  <c r="AE1637" i="1"/>
  <c r="C1638" i="1"/>
  <c r="E1638" i="1"/>
  <c r="F1638" i="1"/>
  <c r="H1638" i="1"/>
  <c r="I1638" i="1"/>
  <c r="J1638" i="1"/>
  <c r="L1638" i="1"/>
  <c r="M1638" i="1"/>
  <c r="V1638" i="1"/>
  <c r="AE1638" i="1"/>
  <c r="C1639" i="1"/>
  <c r="E1639" i="1"/>
  <c r="F1639" i="1"/>
  <c r="H1639" i="1"/>
  <c r="I1639" i="1"/>
  <c r="J1639" i="1"/>
  <c r="L1639" i="1"/>
  <c r="M1639" i="1"/>
  <c r="V1639" i="1"/>
  <c r="AE1639" i="1"/>
  <c r="C1640" i="1"/>
  <c r="E1640" i="1"/>
  <c r="F1640" i="1"/>
  <c r="H1640" i="1"/>
  <c r="I1640" i="1"/>
  <c r="J1640" i="1"/>
  <c r="L1640" i="1"/>
  <c r="M1640" i="1"/>
  <c r="V1640" i="1"/>
  <c r="AE1640" i="1"/>
  <c r="C1641" i="1"/>
  <c r="E1641" i="1"/>
  <c r="F1641" i="1"/>
  <c r="H1641" i="1"/>
  <c r="I1641" i="1"/>
  <c r="J1641" i="1"/>
  <c r="L1641" i="1"/>
  <c r="M1641" i="1"/>
  <c r="V1641" i="1"/>
  <c r="AE1641" i="1"/>
  <c r="C1642" i="1"/>
  <c r="E1642" i="1"/>
  <c r="F1642" i="1"/>
  <c r="H1642" i="1"/>
  <c r="I1642" i="1"/>
  <c r="J1642" i="1"/>
  <c r="L1642" i="1"/>
  <c r="M1642" i="1"/>
  <c r="V1642" i="1"/>
  <c r="AE1642" i="1"/>
  <c r="C1643" i="1"/>
  <c r="E1643" i="1"/>
  <c r="F1643" i="1"/>
  <c r="H1643" i="1"/>
  <c r="I1643" i="1"/>
  <c r="J1643" i="1"/>
  <c r="L1643" i="1"/>
  <c r="M1643" i="1"/>
  <c r="V1643" i="1"/>
  <c r="AE1643" i="1"/>
  <c r="C1644" i="1"/>
  <c r="E1644" i="1"/>
  <c r="F1644" i="1"/>
  <c r="H1644" i="1"/>
  <c r="I1644" i="1"/>
  <c r="J1644" i="1"/>
  <c r="L1644" i="1"/>
  <c r="M1644" i="1"/>
  <c r="V1644" i="1"/>
  <c r="AE1644" i="1"/>
  <c r="C1645" i="1"/>
  <c r="E1645" i="1"/>
  <c r="F1645" i="1"/>
  <c r="H1645" i="1"/>
  <c r="I1645" i="1"/>
  <c r="J1645" i="1"/>
  <c r="L1645" i="1"/>
  <c r="M1645" i="1"/>
  <c r="V1645" i="1"/>
  <c r="AE1645" i="1"/>
  <c r="C1646" i="1"/>
  <c r="E1646" i="1"/>
  <c r="F1646" i="1"/>
  <c r="H1646" i="1"/>
  <c r="I1646" i="1"/>
  <c r="J1646" i="1"/>
  <c r="L1646" i="1"/>
  <c r="M1646" i="1"/>
  <c r="V1646" i="1"/>
  <c r="AE1646" i="1"/>
  <c r="C1647" i="1"/>
  <c r="E1647" i="1"/>
  <c r="F1647" i="1"/>
  <c r="H1647" i="1"/>
  <c r="I1647" i="1"/>
  <c r="J1647" i="1"/>
  <c r="L1647" i="1"/>
  <c r="M1647" i="1"/>
  <c r="V1647" i="1"/>
  <c r="AE1647" i="1"/>
  <c r="C1648" i="1"/>
  <c r="E1648" i="1"/>
  <c r="F1648" i="1"/>
  <c r="H1648" i="1"/>
  <c r="I1648" i="1"/>
  <c r="J1648" i="1"/>
  <c r="L1648" i="1"/>
  <c r="M1648" i="1"/>
  <c r="V1648" i="1"/>
  <c r="AE1648" i="1"/>
  <c r="C1649" i="1"/>
  <c r="E1649" i="1"/>
  <c r="F1649" i="1"/>
  <c r="H1649" i="1"/>
  <c r="I1649" i="1"/>
  <c r="J1649" i="1"/>
  <c r="L1649" i="1"/>
  <c r="M1649" i="1"/>
  <c r="V1649" i="1"/>
  <c r="AE1649" i="1"/>
  <c r="C1650" i="1"/>
  <c r="E1650" i="1"/>
  <c r="F1650" i="1"/>
  <c r="H1650" i="1"/>
  <c r="I1650" i="1"/>
  <c r="J1650" i="1"/>
  <c r="L1650" i="1"/>
  <c r="M1650" i="1"/>
  <c r="V1650" i="1"/>
  <c r="AE1650" i="1"/>
  <c r="C1651" i="1"/>
  <c r="E1651" i="1"/>
  <c r="F1651" i="1"/>
  <c r="H1651" i="1"/>
  <c r="I1651" i="1"/>
  <c r="J1651" i="1"/>
  <c r="L1651" i="1"/>
  <c r="M1651" i="1"/>
  <c r="V1651" i="1"/>
  <c r="AE1651" i="1"/>
  <c r="C1652" i="1"/>
  <c r="E1652" i="1"/>
  <c r="F1652" i="1"/>
  <c r="H1652" i="1"/>
  <c r="I1652" i="1"/>
  <c r="J1652" i="1"/>
  <c r="L1652" i="1"/>
  <c r="M1652" i="1"/>
  <c r="V1652" i="1"/>
  <c r="AE1652" i="1"/>
  <c r="C1653" i="1"/>
  <c r="E1653" i="1"/>
  <c r="F1653" i="1"/>
  <c r="H1653" i="1"/>
  <c r="I1653" i="1"/>
  <c r="J1653" i="1"/>
  <c r="L1653" i="1"/>
  <c r="M1653" i="1"/>
  <c r="V1653" i="1"/>
  <c r="AE1653" i="1"/>
  <c r="C1654" i="1"/>
  <c r="E1654" i="1"/>
  <c r="F1654" i="1"/>
  <c r="H1654" i="1"/>
  <c r="I1654" i="1"/>
  <c r="J1654" i="1"/>
  <c r="L1654" i="1"/>
  <c r="M1654" i="1"/>
  <c r="V1654" i="1"/>
  <c r="AE1654" i="1"/>
  <c r="C1655" i="1"/>
  <c r="E1655" i="1"/>
  <c r="F1655" i="1"/>
  <c r="H1655" i="1"/>
  <c r="I1655" i="1"/>
  <c r="J1655" i="1"/>
  <c r="L1655" i="1"/>
  <c r="M1655" i="1"/>
  <c r="V1655" i="1"/>
  <c r="AE1655" i="1"/>
  <c r="C1656" i="1"/>
  <c r="E1656" i="1"/>
  <c r="F1656" i="1"/>
  <c r="H1656" i="1"/>
  <c r="I1656" i="1"/>
  <c r="J1656" i="1"/>
  <c r="L1656" i="1"/>
  <c r="M1656" i="1"/>
  <c r="V1656" i="1"/>
  <c r="AE1656" i="1"/>
  <c r="C1657" i="1"/>
  <c r="E1657" i="1"/>
  <c r="F1657" i="1"/>
  <c r="H1657" i="1"/>
  <c r="I1657" i="1"/>
  <c r="J1657" i="1"/>
  <c r="L1657" i="1"/>
  <c r="M1657" i="1"/>
  <c r="V1657" i="1"/>
  <c r="AE1657" i="1"/>
  <c r="C1658" i="1"/>
  <c r="E1658" i="1"/>
  <c r="F1658" i="1"/>
  <c r="H1658" i="1"/>
  <c r="I1658" i="1"/>
  <c r="J1658" i="1"/>
  <c r="L1658" i="1"/>
  <c r="M1658" i="1"/>
  <c r="V1658" i="1"/>
  <c r="AE1658" i="1"/>
  <c r="C1659" i="1"/>
  <c r="E1659" i="1"/>
  <c r="F1659" i="1"/>
  <c r="H1659" i="1"/>
  <c r="I1659" i="1"/>
  <c r="J1659" i="1"/>
  <c r="L1659" i="1"/>
  <c r="M1659" i="1"/>
  <c r="V1659" i="1"/>
  <c r="AE1659" i="1"/>
  <c r="C1660" i="1"/>
  <c r="E1660" i="1"/>
  <c r="F1660" i="1"/>
  <c r="H1660" i="1"/>
  <c r="I1660" i="1"/>
  <c r="J1660" i="1"/>
  <c r="L1660" i="1"/>
  <c r="M1660" i="1"/>
  <c r="V1660" i="1"/>
  <c r="AE1660" i="1"/>
  <c r="C1661" i="1"/>
  <c r="E1661" i="1"/>
  <c r="F1661" i="1"/>
  <c r="H1661" i="1"/>
  <c r="I1661" i="1"/>
  <c r="J1661" i="1"/>
  <c r="L1661" i="1"/>
  <c r="M1661" i="1"/>
  <c r="V1661" i="1"/>
  <c r="AE1661" i="1"/>
  <c r="C1662" i="1"/>
  <c r="E1662" i="1"/>
  <c r="F1662" i="1"/>
  <c r="H1662" i="1"/>
  <c r="I1662" i="1"/>
  <c r="J1662" i="1"/>
  <c r="L1662" i="1"/>
  <c r="M1662" i="1"/>
  <c r="V1662" i="1"/>
  <c r="AE1662" i="1"/>
  <c r="C1663" i="1"/>
  <c r="E1663" i="1"/>
  <c r="F1663" i="1"/>
  <c r="H1663" i="1"/>
  <c r="I1663" i="1"/>
  <c r="J1663" i="1"/>
  <c r="L1663" i="1"/>
  <c r="M1663" i="1"/>
  <c r="V1663" i="1"/>
  <c r="AE1663" i="1"/>
  <c r="C1664" i="1"/>
  <c r="E1664" i="1"/>
  <c r="F1664" i="1"/>
  <c r="H1664" i="1"/>
  <c r="I1664" i="1"/>
  <c r="J1664" i="1"/>
  <c r="L1664" i="1"/>
  <c r="M1664" i="1"/>
  <c r="V1664" i="1"/>
  <c r="AE1664" i="1"/>
  <c r="C1665" i="1"/>
  <c r="E1665" i="1"/>
  <c r="F1665" i="1"/>
  <c r="H1665" i="1"/>
  <c r="I1665" i="1"/>
  <c r="J1665" i="1"/>
  <c r="L1665" i="1"/>
  <c r="M1665" i="1"/>
  <c r="V1665" i="1"/>
  <c r="AE1665" i="1"/>
  <c r="C1666" i="1"/>
  <c r="E1666" i="1"/>
  <c r="F1666" i="1"/>
  <c r="H1666" i="1"/>
  <c r="I1666" i="1"/>
  <c r="J1666" i="1"/>
  <c r="L1666" i="1"/>
  <c r="M1666" i="1"/>
  <c r="V1666" i="1"/>
  <c r="AE1666" i="1"/>
  <c r="C1667" i="1"/>
  <c r="E1667" i="1"/>
  <c r="F1667" i="1"/>
  <c r="H1667" i="1"/>
  <c r="I1667" i="1"/>
  <c r="J1667" i="1"/>
  <c r="L1667" i="1"/>
  <c r="M1667" i="1"/>
  <c r="V1667" i="1"/>
  <c r="AE1667" i="1"/>
  <c r="C1668" i="1"/>
  <c r="E1668" i="1"/>
  <c r="F1668" i="1"/>
  <c r="H1668" i="1"/>
  <c r="I1668" i="1"/>
  <c r="J1668" i="1"/>
  <c r="L1668" i="1"/>
  <c r="M1668" i="1"/>
  <c r="V1668" i="1"/>
  <c r="AE1668" i="1"/>
  <c r="C1669" i="1"/>
  <c r="E1669" i="1"/>
  <c r="F1669" i="1"/>
  <c r="H1669" i="1"/>
  <c r="I1669" i="1"/>
  <c r="J1669" i="1"/>
  <c r="L1669" i="1"/>
  <c r="M1669" i="1"/>
  <c r="V1669" i="1"/>
  <c r="AE1669" i="1"/>
  <c r="C1670" i="1"/>
  <c r="E1670" i="1"/>
  <c r="F1670" i="1"/>
  <c r="H1670" i="1"/>
  <c r="I1670" i="1"/>
  <c r="J1670" i="1"/>
  <c r="L1670" i="1"/>
  <c r="M1670" i="1"/>
  <c r="V1670" i="1"/>
  <c r="AE1670" i="1"/>
  <c r="C1671" i="1"/>
  <c r="E1671" i="1"/>
  <c r="F1671" i="1"/>
  <c r="H1671" i="1"/>
  <c r="I1671" i="1"/>
  <c r="J1671" i="1"/>
  <c r="L1671" i="1"/>
  <c r="M1671" i="1"/>
  <c r="V1671" i="1"/>
  <c r="AE1671" i="1"/>
  <c r="C1672" i="1"/>
  <c r="E1672" i="1"/>
  <c r="F1672" i="1"/>
  <c r="H1672" i="1"/>
  <c r="I1672" i="1"/>
  <c r="J1672" i="1"/>
  <c r="L1672" i="1"/>
  <c r="M1672" i="1"/>
  <c r="V1672" i="1"/>
  <c r="AE1672" i="1"/>
  <c r="C1673" i="1"/>
  <c r="E1673" i="1"/>
  <c r="F1673" i="1"/>
  <c r="H1673" i="1"/>
  <c r="I1673" i="1"/>
  <c r="J1673" i="1"/>
  <c r="L1673" i="1"/>
  <c r="M1673" i="1"/>
  <c r="V1673" i="1"/>
  <c r="AE1673" i="1"/>
  <c r="C1674" i="1"/>
  <c r="E1674" i="1"/>
  <c r="F1674" i="1"/>
  <c r="H1674" i="1"/>
  <c r="I1674" i="1"/>
  <c r="J1674" i="1"/>
  <c r="L1674" i="1"/>
  <c r="M1674" i="1"/>
  <c r="V1674" i="1"/>
  <c r="AE1674" i="1"/>
  <c r="C1675" i="1"/>
  <c r="E1675" i="1"/>
  <c r="F1675" i="1"/>
  <c r="H1675" i="1"/>
  <c r="I1675" i="1"/>
  <c r="J1675" i="1"/>
  <c r="L1675" i="1"/>
  <c r="M1675" i="1"/>
  <c r="V1675" i="1"/>
  <c r="AE1675" i="1"/>
  <c r="C1676" i="1"/>
  <c r="E1676" i="1"/>
  <c r="F1676" i="1"/>
  <c r="H1676" i="1"/>
  <c r="I1676" i="1"/>
  <c r="J1676" i="1"/>
  <c r="L1676" i="1"/>
  <c r="M1676" i="1"/>
  <c r="V1676" i="1"/>
  <c r="AE1676" i="1"/>
  <c r="C1677" i="1"/>
  <c r="E1677" i="1"/>
  <c r="F1677" i="1"/>
  <c r="H1677" i="1"/>
  <c r="I1677" i="1"/>
  <c r="J1677" i="1"/>
  <c r="L1677" i="1"/>
  <c r="M1677" i="1"/>
  <c r="V1677" i="1"/>
  <c r="AE1677" i="1"/>
  <c r="C1678" i="1"/>
  <c r="E1678" i="1"/>
  <c r="F1678" i="1"/>
  <c r="H1678" i="1"/>
  <c r="I1678" i="1"/>
  <c r="J1678" i="1"/>
  <c r="L1678" i="1"/>
  <c r="M1678" i="1"/>
  <c r="V1678" i="1"/>
  <c r="AE1678" i="1"/>
  <c r="C1679" i="1"/>
  <c r="E1679" i="1"/>
  <c r="F1679" i="1"/>
  <c r="H1679" i="1"/>
  <c r="I1679" i="1"/>
  <c r="J1679" i="1"/>
  <c r="L1679" i="1"/>
  <c r="M1679" i="1"/>
  <c r="V1679" i="1"/>
  <c r="AE1679" i="1"/>
  <c r="C1680" i="1"/>
  <c r="E1680" i="1"/>
  <c r="F1680" i="1"/>
  <c r="H1680" i="1"/>
  <c r="I1680" i="1"/>
  <c r="J1680" i="1"/>
  <c r="L1680" i="1"/>
  <c r="M1680" i="1"/>
  <c r="V1680" i="1"/>
  <c r="AE1680" i="1"/>
  <c r="C1681" i="1"/>
  <c r="E1681" i="1"/>
  <c r="F1681" i="1"/>
  <c r="H1681" i="1"/>
  <c r="I1681" i="1"/>
  <c r="J1681" i="1"/>
  <c r="L1681" i="1"/>
  <c r="M1681" i="1"/>
  <c r="V1681" i="1"/>
  <c r="AE1681" i="1"/>
  <c r="C1682" i="1"/>
  <c r="E1682" i="1"/>
  <c r="F1682" i="1"/>
  <c r="H1682" i="1"/>
  <c r="I1682" i="1"/>
  <c r="J1682" i="1"/>
  <c r="L1682" i="1"/>
  <c r="M1682" i="1"/>
  <c r="V1682" i="1"/>
  <c r="AE1682" i="1"/>
  <c r="C1683" i="1"/>
  <c r="E1683" i="1"/>
  <c r="F1683" i="1"/>
  <c r="H1683" i="1"/>
  <c r="I1683" i="1"/>
  <c r="J1683" i="1"/>
  <c r="L1683" i="1"/>
  <c r="M1683" i="1"/>
  <c r="V1683" i="1"/>
  <c r="AE1683" i="1"/>
  <c r="C1684" i="1"/>
  <c r="E1684" i="1"/>
  <c r="F1684" i="1"/>
  <c r="H1684" i="1"/>
  <c r="I1684" i="1"/>
  <c r="J1684" i="1"/>
  <c r="L1684" i="1"/>
  <c r="M1684" i="1"/>
  <c r="V1684" i="1"/>
  <c r="AE1684" i="1"/>
  <c r="C1685" i="1"/>
  <c r="E1685" i="1"/>
  <c r="F1685" i="1"/>
  <c r="H1685" i="1"/>
  <c r="I1685" i="1"/>
  <c r="J1685" i="1"/>
  <c r="L1685" i="1"/>
  <c r="M1685" i="1"/>
  <c r="V1685" i="1"/>
  <c r="AE1685" i="1"/>
  <c r="C1686" i="1"/>
  <c r="E1686" i="1"/>
  <c r="F1686" i="1"/>
  <c r="H1686" i="1"/>
  <c r="I1686" i="1"/>
  <c r="J1686" i="1"/>
  <c r="L1686" i="1"/>
  <c r="M1686" i="1"/>
  <c r="V1686" i="1"/>
  <c r="AE1686" i="1"/>
  <c r="C1687" i="1"/>
  <c r="E1687" i="1"/>
  <c r="F1687" i="1"/>
  <c r="H1687" i="1"/>
  <c r="I1687" i="1"/>
  <c r="J1687" i="1"/>
  <c r="L1687" i="1"/>
  <c r="M1687" i="1"/>
  <c r="V1687" i="1"/>
  <c r="AE1687" i="1"/>
  <c r="C1688" i="1"/>
  <c r="E1688" i="1"/>
  <c r="F1688" i="1"/>
  <c r="H1688" i="1"/>
  <c r="I1688" i="1"/>
  <c r="J1688" i="1"/>
  <c r="L1688" i="1"/>
  <c r="M1688" i="1"/>
  <c r="V1688" i="1"/>
  <c r="AE1688" i="1"/>
  <c r="C1689" i="1"/>
  <c r="E1689" i="1"/>
  <c r="F1689" i="1"/>
  <c r="H1689" i="1"/>
  <c r="I1689" i="1"/>
  <c r="J1689" i="1"/>
  <c r="L1689" i="1"/>
  <c r="M1689" i="1"/>
  <c r="V1689" i="1"/>
  <c r="AE1689" i="1"/>
  <c r="C1690" i="1"/>
  <c r="E1690" i="1"/>
  <c r="F1690" i="1"/>
  <c r="H1690" i="1"/>
  <c r="I1690" i="1"/>
  <c r="J1690" i="1"/>
  <c r="L1690" i="1"/>
  <c r="M1690" i="1"/>
  <c r="V1690" i="1"/>
  <c r="AE1690" i="1"/>
  <c r="C1691" i="1"/>
  <c r="E1691" i="1"/>
  <c r="F1691" i="1"/>
  <c r="H1691" i="1"/>
  <c r="I1691" i="1"/>
  <c r="J1691" i="1"/>
  <c r="L1691" i="1"/>
  <c r="M1691" i="1"/>
  <c r="V1691" i="1"/>
  <c r="AE1691" i="1"/>
  <c r="C1692" i="1"/>
  <c r="E1692" i="1"/>
  <c r="F1692" i="1"/>
  <c r="H1692" i="1"/>
  <c r="I1692" i="1"/>
  <c r="J1692" i="1"/>
  <c r="L1692" i="1"/>
  <c r="M1692" i="1"/>
  <c r="V1692" i="1"/>
  <c r="AE1692" i="1"/>
  <c r="C1693" i="1"/>
  <c r="E1693" i="1"/>
  <c r="F1693" i="1"/>
  <c r="H1693" i="1"/>
  <c r="I1693" i="1"/>
  <c r="J1693" i="1"/>
  <c r="L1693" i="1"/>
  <c r="M1693" i="1"/>
  <c r="V1693" i="1"/>
  <c r="AE1693" i="1"/>
  <c r="C1694" i="1"/>
  <c r="E1694" i="1"/>
  <c r="F1694" i="1"/>
  <c r="H1694" i="1"/>
  <c r="I1694" i="1"/>
  <c r="J1694" i="1"/>
  <c r="L1694" i="1"/>
  <c r="M1694" i="1"/>
  <c r="V1694" i="1"/>
  <c r="AE1694" i="1"/>
  <c r="C1695" i="1"/>
  <c r="E1695" i="1"/>
  <c r="F1695" i="1"/>
  <c r="H1695" i="1"/>
  <c r="I1695" i="1"/>
  <c r="J1695" i="1"/>
  <c r="L1695" i="1"/>
  <c r="M1695" i="1"/>
  <c r="V1695" i="1"/>
  <c r="AE1695" i="1"/>
  <c r="C1696" i="1"/>
  <c r="E1696" i="1"/>
  <c r="F1696" i="1"/>
  <c r="H1696" i="1"/>
  <c r="I1696" i="1"/>
  <c r="J1696" i="1"/>
  <c r="L1696" i="1"/>
  <c r="M1696" i="1"/>
  <c r="V1696" i="1"/>
  <c r="AE1696" i="1"/>
  <c r="C1697" i="1"/>
  <c r="E1697" i="1"/>
  <c r="F1697" i="1"/>
  <c r="H1697" i="1"/>
  <c r="I1697" i="1"/>
  <c r="J1697" i="1"/>
  <c r="L1697" i="1"/>
  <c r="M1697" i="1"/>
  <c r="V1697" i="1"/>
  <c r="AE1697" i="1"/>
  <c r="C1698" i="1"/>
  <c r="E1698" i="1"/>
  <c r="F1698" i="1"/>
  <c r="H1698" i="1"/>
  <c r="I1698" i="1"/>
  <c r="J1698" i="1"/>
  <c r="L1698" i="1"/>
  <c r="M1698" i="1"/>
  <c r="V1698" i="1"/>
  <c r="AE1698" i="1"/>
  <c r="C1699" i="1"/>
  <c r="E1699" i="1"/>
  <c r="F1699" i="1"/>
  <c r="H1699" i="1"/>
  <c r="I1699" i="1"/>
  <c r="J1699" i="1"/>
  <c r="L1699" i="1"/>
  <c r="M1699" i="1"/>
  <c r="V1699" i="1"/>
  <c r="AE1699" i="1"/>
  <c r="C1700" i="1"/>
  <c r="E1700" i="1"/>
  <c r="F1700" i="1"/>
  <c r="H1700" i="1"/>
  <c r="I1700" i="1"/>
  <c r="J1700" i="1"/>
  <c r="L1700" i="1"/>
  <c r="M1700" i="1"/>
  <c r="V1700" i="1"/>
  <c r="AE1700" i="1"/>
  <c r="C1701" i="1"/>
  <c r="E1701" i="1"/>
  <c r="F1701" i="1"/>
  <c r="H1701" i="1"/>
  <c r="I1701" i="1"/>
  <c r="J1701" i="1"/>
  <c r="L1701" i="1"/>
  <c r="M1701" i="1"/>
  <c r="V1701" i="1"/>
  <c r="AE1701" i="1"/>
  <c r="C1702" i="1"/>
  <c r="E1702" i="1"/>
  <c r="F1702" i="1"/>
  <c r="H1702" i="1"/>
  <c r="I1702" i="1"/>
  <c r="J1702" i="1"/>
  <c r="L1702" i="1"/>
  <c r="M1702" i="1"/>
  <c r="V1702" i="1"/>
  <c r="AE1702" i="1"/>
  <c r="C1703" i="1"/>
  <c r="E1703" i="1"/>
  <c r="F1703" i="1"/>
  <c r="H1703" i="1"/>
  <c r="I1703" i="1"/>
  <c r="J1703" i="1"/>
  <c r="L1703" i="1"/>
  <c r="M1703" i="1"/>
  <c r="V1703" i="1"/>
  <c r="AE1703" i="1"/>
  <c r="C1704" i="1"/>
  <c r="E1704" i="1"/>
  <c r="F1704" i="1"/>
  <c r="H1704" i="1"/>
  <c r="I1704" i="1"/>
  <c r="J1704" i="1"/>
  <c r="L1704" i="1"/>
  <c r="M1704" i="1"/>
  <c r="V1704" i="1"/>
  <c r="AE1704" i="1"/>
  <c r="C1705" i="1"/>
  <c r="E1705" i="1"/>
  <c r="F1705" i="1"/>
  <c r="H1705" i="1"/>
  <c r="I1705" i="1"/>
  <c r="J1705" i="1"/>
  <c r="L1705" i="1"/>
  <c r="M1705" i="1"/>
  <c r="V1705" i="1"/>
  <c r="AE1705" i="1"/>
  <c r="C1706" i="1"/>
  <c r="E1706" i="1"/>
  <c r="F1706" i="1"/>
  <c r="H1706" i="1"/>
  <c r="I1706" i="1"/>
  <c r="J1706" i="1"/>
  <c r="L1706" i="1"/>
  <c r="M1706" i="1"/>
  <c r="V1706" i="1"/>
  <c r="AE1706" i="1"/>
  <c r="C1707" i="1"/>
  <c r="E1707" i="1"/>
  <c r="F1707" i="1"/>
  <c r="H1707" i="1"/>
  <c r="I1707" i="1"/>
  <c r="J1707" i="1"/>
  <c r="L1707" i="1"/>
  <c r="M1707" i="1"/>
  <c r="V1707" i="1"/>
  <c r="AE1707" i="1"/>
  <c r="C1708" i="1"/>
  <c r="E1708" i="1"/>
  <c r="F1708" i="1"/>
  <c r="H1708" i="1"/>
  <c r="I1708" i="1"/>
  <c r="J1708" i="1"/>
  <c r="L1708" i="1"/>
  <c r="M1708" i="1"/>
  <c r="V1708" i="1"/>
  <c r="AE1708" i="1"/>
  <c r="C1709" i="1"/>
  <c r="E1709" i="1"/>
  <c r="F1709" i="1"/>
  <c r="H1709" i="1"/>
  <c r="I1709" i="1"/>
  <c r="J1709" i="1"/>
  <c r="L1709" i="1"/>
  <c r="M1709" i="1"/>
  <c r="V1709" i="1"/>
  <c r="AE1709" i="1"/>
  <c r="C1710" i="1"/>
  <c r="E1710" i="1"/>
  <c r="F1710" i="1"/>
  <c r="H1710" i="1"/>
  <c r="I1710" i="1"/>
  <c r="J1710" i="1"/>
  <c r="L1710" i="1"/>
  <c r="M1710" i="1"/>
  <c r="V1710" i="1"/>
  <c r="AE1710" i="1"/>
  <c r="C1711" i="1"/>
  <c r="E1711" i="1"/>
  <c r="F1711" i="1"/>
  <c r="H1711" i="1"/>
  <c r="I1711" i="1"/>
  <c r="J1711" i="1"/>
  <c r="L1711" i="1"/>
  <c r="M1711" i="1"/>
  <c r="V1711" i="1"/>
  <c r="AE1711" i="1"/>
  <c r="C1712" i="1"/>
  <c r="E1712" i="1"/>
  <c r="F1712" i="1"/>
  <c r="H1712" i="1"/>
  <c r="I1712" i="1"/>
  <c r="J1712" i="1"/>
  <c r="L1712" i="1"/>
  <c r="M1712" i="1"/>
  <c r="V1712" i="1"/>
  <c r="AE1712" i="1"/>
  <c r="C1713" i="1"/>
  <c r="E1713" i="1"/>
  <c r="F1713" i="1"/>
  <c r="H1713" i="1"/>
  <c r="I1713" i="1"/>
  <c r="J1713" i="1"/>
  <c r="L1713" i="1"/>
  <c r="M1713" i="1"/>
  <c r="V1713" i="1"/>
  <c r="AE1713" i="1"/>
  <c r="C1714" i="1"/>
  <c r="E1714" i="1"/>
  <c r="F1714" i="1"/>
  <c r="H1714" i="1"/>
  <c r="I1714" i="1"/>
  <c r="J1714" i="1"/>
  <c r="L1714" i="1"/>
  <c r="M1714" i="1"/>
  <c r="V1714" i="1"/>
  <c r="AE1714" i="1"/>
  <c r="C1715" i="1"/>
  <c r="E1715" i="1"/>
  <c r="F1715" i="1"/>
  <c r="H1715" i="1"/>
  <c r="I1715" i="1"/>
  <c r="J1715" i="1"/>
  <c r="L1715" i="1"/>
  <c r="M1715" i="1"/>
  <c r="V1715" i="1"/>
  <c r="AE1715" i="1"/>
  <c r="C1716" i="1"/>
  <c r="E1716" i="1"/>
  <c r="F1716" i="1"/>
  <c r="H1716" i="1"/>
  <c r="I1716" i="1"/>
  <c r="J1716" i="1"/>
  <c r="L1716" i="1"/>
  <c r="M1716" i="1"/>
  <c r="V1716" i="1"/>
  <c r="AE1716" i="1"/>
  <c r="C1717" i="1"/>
  <c r="E1717" i="1"/>
  <c r="F1717" i="1"/>
  <c r="H1717" i="1"/>
  <c r="I1717" i="1"/>
  <c r="J1717" i="1"/>
  <c r="L1717" i="1"/>
  <c r="M1717" i="1"/>
  <c r="V1717" i="1"/>
  <c r="AE1717" i="1"/>
  <c r="C1718" i="1"/>
  <c r="E1718" i="1"/>
  <c r="F1718" i="1"/>
  <c r="H1718" i="1"/>
  <c r="I1718" i="1"/>
  <c r="J1718" i="1"/>
  <c r="L1718" i="1"/>
  <c r="M1718" i="1"/>
  <c r="V1718" i="1"/>
  <c r="AE1718" i="1"/>
  <c r="C1719" i="1"/>
  <c r="E1719" i="1"/>
  <c r="F1719" i="1"/>
  <c r="H1719" i="1"/>
  <c r="I1719" i="1"/>
  <c r="J1719" i="1"/>
  <c r="L1719" i="1"/>
  <c r="M1719" i="1"/>
  <c r="V1719" i="1"/>
  <c r="AE1719" i="1"/>
  <c r="C1720" i="1"/>
  <c r="E1720" i="1"/>
  <c r="F1720" i="1"/>
  <c r="H1720" i="1"/>
  <c r="I1720" i="1"/>
  <c r="J1720" i="1"/>
  <c r="L1720" i="1"/>
  <c r="M1720" i="1"/>
  <c r="V1720" i="1"/>
  <c r="AE1720" i="1"/>
  <c r="C1721" i="1"/>
  <c r="E1721" i="1"/>
  <c r="F1721" i="1"/>
  <c r="H1721" i="1"/>
  <c r="I1721" i="1"/>
  <c r="J1721" i="1"/>
  <c r="L1721" i="1"/>
  <c r="M1721" i="1"/>
  <c r="V1721" i="1"/>
  <c r="AE1721" i="1"/>
  <c r="C1722" i="1"/>
  <c r="E1722" i="1"/>
  <c r="F1722" i="1"/>
  <c r="H1722" i="1"/>
  <c r="I1722" i="1"/>
  <c r="J1722" i="1"/>
  <c r="L1722" i="1"/>
  <c r="M1722" i="1"/>
  <c r="V1722" i="1"/>
  <c r="AE1722" i="1"/>
  <c r="C1723" i="1"/>
  <c r="E1723" i="1"/>
  <c r="F1723" i="1"/>
  <c r="H1723" i="1"/>
  <c r="I1723" i="1"/>
  <c r="J1723" i="1"/>
  <c r="L1723" i="1"/>
  <c r="M1723" i="1"/>
  <c r="V1723" i="1"/>
  <c r="AE1723" i="1"/>
  <c r="C1724" i="1"/>
  <c r="E1724" i="1"/>
  <c r="F1724" i="1"/>
  <c r="H1724" i="1"/>
  <c r="I1724" i="1"/>
  <c r="J1724" i="1"/>
  <c r="L1724" i="1"/>
  <c r="M1724" i="1"/>
  <c r="V1724" i="1"/>
  <c r="AE1724" i="1"/>
  <c r="C1725" i="1"/>
  <c r="E1725" i="1"/>
  <c r="F1725" i="1"/>
  <c r="H1725" i="1"/>
  <c r="I1725" i="1"/>
  <c r="J1725" i="1"/>
  <c r="L1725" i="1"/>
  <c r="M1725" i="1"/>
  <c r="V1725" i="1"/>
  <c r="AE1725" i="1"/>
  <c r="C1726" i="1"/>
  <c r="E1726" i="1"/>
  <c r="F1726" i="1"/>
  <c r="H1726" i="1"/>
  <c r="I1726" i="1"/>
  <c r="J1726" i="1"/>
  <c r="L1726" i="1"/>
  <c r="M1726" i="1"/>
  <c r="V1726" i="1"/>
  <c r="AE1726" i="1"/>
  <c r="C1727" i="1"/>
  <c r="E1727" i="1"/>
  <c r="F1727" i="1"/>
  <c r="H1727" i="1"/>
  <c r="I1727" i="1"/>
  <c r="J1727" i="1"/>
  <c r="L1727" i="1"/>
  <c r="M1727" i="1"/>
  <c r="V1727" i="1"/>
  <c r="AE1727" i="1"/>
  <c r="C1728" i="1"/>
  <c r="E1728" i="1"/>
  <c r="F1728" i="1"/>
  <c r="H1728" i="1"/>
  <c r="I1728" i="1"/>
  <c r="J1728" i="1"/>
  <c r="L1728" i="1"/>
  <c r="M1728" i="1"/>
  <c r="V1728" i="1"/>
  <c r="AE1728" i="1"/>
  <c r="C1729" i="1"/>
  <c r="E1729" i="1"/>
  <c r="F1729" i="1"/>
  <c r="H1729" i="1"/>
  <c r="I1729" i="1"/>
  <c r="J1729" i="1"/>
  <c r="L1729" i="1"/>
  <c r="M1729" i="1"/>
  <c r="V1729" i="1"/>
  <c r="AE1729" i="1"/>
  <c r="C1730" i="1"/>
  <c r="E1730" i="1"/>
  <c r="F1730" i="1"/>
  <c r="H1730" i="1"/>
  <c r="I1730" i="1"/>
  <c r="J1730" i="1"/>
  <c r="L1730" i="1"/>
  <c r="M1730" i="1"/>
  <c r="V1730" i="1"/>
  <c r="AE1730" i="1"/>
  <c r="C1731" i="1"/>
  <c r="E1731" i="1"/>
  <c r="F1731" i="1"/>
  <c r="H1731" i="1"/>
  <c r="I1731" i="1"/>
  <c r="J1731" i="1"/>
  <c r="L1731" i="1"/>
  <c r="M1731" i="1"/>
  <c r="V1731" i="1"/>
  <c r="AE1731" i="1"/>
  <c r="C1732" i="1"/>
  <c r="E1732" i="1"/>
  <c r="F1732" i="1"/>
  <c r="H1732" i="1"/>
  <c r="I1732" i="1"/>
  <c r="J1732" i="1"/>
  <c r="L1732" i="1"/>
  <c r="M1732" i="1"/>
  <c r="V1732" i="1"/>
  <c r="AE1732" i="1"/>
  <c r="C1733" i="1"/>
  <c r="E1733" i="1"/>
  <c r="F1733" i="1"/>
  <c r="H1733" i="1"/>
  <c r="I1733" i="1"/>
  <c r="J1733" i="1"/>
  <c r="L1733" i="1"/>
  <c r="M1733" i="1"/>
  <c r="V1733" i="1"/>
  <c r="AE1733" i="1"/>
  <c r="C1734" i="1"/>
  <c r="E1734" i="1"/>
  <c r="F1734" i="1"/>
  <c r="H1734" i="1"/>
  <c r="I1734" i="1"/>
  <c r="J1734" i="1"/>
  <c r="L1734" i="1"/>
  <c r="M1734" i="1"/>
  <c r="V1734" i="1"/>
  <c r="AE1734" i="1"/>
  <c r="C1735" i="1"/>
  <c r="E1735" i="1"/>
  <c r="F1735" i="1"/>
  <c r="H1735" i="1"/>
  <c r="I1735" i="1"/>
  <c r="J1735" i="1"/>
  <c r="L1735" i="1"/>
  <c r="M1735" i="1"/>
  <c r="V1735" i="1"/>
  <c r="AE1735" i="1"/>
  <c r="C1736" i="1"/>
  <c r="E1736" i="1"/>
  <c r="F1736" i="1"/>
  <c r="H1736" i="1"/>
  <c r="I1736" i="1"/>
  <c r="J1736" i="1"/>
  <c r="L1736" i="1"/>
  <c r="M1736" i="1"/>
  <c r="V1736" i="1"/>
  <c r="AE1736" i="1"/>
  <c r="C1737" i="1"/>
  <c r="E1737" i="1"/>
  <c r="F1737" i="1"/>
  <c r="H1737" i="1"/>
  <c r="I1737" i="1"/>
  <c r="J1737" i="1"/>
  <c r="L1737" i="1"/>
  <c r="M1737" i="1"/>
  <c r="V1737" i="1"/>
  <c r="AE1737" i="1"/>
  <c r="C1738" i="1"/>
  <c r="E1738" i="1"/>
  <c r="F1738" i="1"/>
  <c r="H1738" i="1"/>
  <c r="I1738" i="1"/>
  <c r="J1738" i="1"/>
  <c r="L1738" i="1"/>
  <c r="M1738" i="1"/>
  <c r="V1738" i="1"/>
  <c r="AE1738" i="1"/>
  <c r="C1739" i="1"/>
  <c r="E1739" i="1"/>
  <c r="F1739" i="1"/>
  <c r="H1739" i="1"/>
  <c r="I1739" i="1"/>
  <c r="J1739" i="1"/>
  <c r="L1739" i="1"/>
  <c r="M1739" i="1"/>
  <c r="V1739" i="1"/>
  <c r="AE1739" i="1"/>
  <c r="C1740" i="1"/>
  <c r="E1740" i="1"/>
  <c r="F1740" i="1"/>
  <c r="H1740" i="1"/>
  <c r="I1740" i="1"/>
  <c r="J1740" i="1"/>
  <c r="L1740" i="1"/>
  <c r="M1740" i="1"/>
  <c r="V1740" i="1"/>
  <c r="AE1740" i="1"/>
  <c r="C1741" i="1"/>
  <c r="E1741" i="1"/>
  <c r="F1741" i="1"/>
  <c r="H1741" i="1"/>
  <c r="I1741" i="1"/>
  <c r="J1741" i="1"/>
  <c r="L1741" i="1"/>
  <c r="M1741" i="1"/>
  <c r="V1741" i="1"/>
  <c r="AE1741" i="1"/>
  <c r="C1742" i="1"/>
  <c r="E1742" i="1"/>
  <c r="F1742" i="1"/>
  <c r="H1742" i="1"/>
  <c r="I1742" i="1"/>
  <c r="J1742" i="1"/>
  <c r="L1742" i="1"/>
  <c r="M1742" i="1"/>
  <c r="V1742" i="1"/>
  <c r="AE1742" i="1"/>
  <c r="C1743" i="1"/>
  <c r="E1743" i="1"/>
  <c r="F1743" i="1"/>
  <c r="H1743" i="1"/>
  <c r="I1743" i="1"/>
  <c r="J1743" i="1"/>
  <c r="L1743" i="1"/>
  <c r="M1743" i="1"/>
  <c r="V1743" i="1"/>
  <c r="AE1743" i="1"/>
  <c r="C1744" i="1"/>
  <c r="E1744" i="1"/>
  <c r="F1744" i="1"/>
  <c r="H1744" i="1"/>
  <c r="I1744" i="1"/>
  <c r="J1744" i="1"/>
  <c r="L1744" i="1"/>
  <c r="M1744" i="1"/>
  <c r="V1744" i="1"/>
  <c r="AE1744" i="1"/>
  <c r="C1745" i="1"/>
  <c r="E1745" i="1"/>
  <c r="F1745" i="1"/>
  <c r="H1745" i="1"/>
  <c r="I1745" i="1"/>
  <c r="J1745" i="1"/>
  <c r="L1745" i="1"/>
  <c r="M1745" i="1"/>
  <c r="V1745" i="1"/>
  <c r="AE1745" i="1"/>
  <c r="C1746" i="1"/>
  <c r="E1746" i="1"/>
  <c r="F1746" i="1"/>
  <c r="H1746" i="1"/>
  <c r="I1746" i="1"/>
  <c r="J1746" i="1"/>
  <c r="L1746" i="1"/>
  <c r="M1746" i="1"/>
  <c r="V1746" i="1"/>
  <c r="AE1746" i="1"/>
  <c r="C1747" i="1"/>
  <c r="E1747" i="1"/>
  <c r="F1747" i="1"/>
  <c r="H1747" i="1"/>
  <c r="I1747" i="1"/>
  <c r="J1747" i="1"/>
  <c r="L1747" i="1"/>
  <c r="M1747" i="1"/>
  <c r="V1747" i="1"/>
  <c r="AE1747" i="1"/>
  <c r="C1748" i="1"/>
  <c r="E1748" i="1"/>
  <c r="F1748" i="1"/>
  <c r="H1748" i="1"/>
  <c r="I1748" i="1"/>
  <c r="J1748" i="1"/>
  <c r="L1748" i="1"/>
  <c r="M1748" i="1"/>
  <c r="V1748" i="1"/>
  <c r="AE1748" i="1"/>
  <c r="C1749" i="1"/>
  <c r="E1749" i="1"/>
  <c r="F1749" i="1"/>
  <c r="H1749" i="1"/>
  <c r="I1749" i="1"/>
  <c r="J1749" i="1"/>
  <c r="L1749" i="1"/>
  <c r="M1749" i="1"/>
  <c r="V1749" i="1"/>
  <c r="AE1749" i="1"/>
  <c r="C1750" i="1"/>
  <c r="E1750" i="1"/>
  <c r="F1750" i="1"/>
  <c r="H1750" i="1"/>
  <c r="I1750" i="1"/>
  <c r="J1750" i="1"/>
  <c r="L1750" i="1"/>
  <c r="M1750" i="1"/>
  <c r="V1750" i="1"/>
  <c r="AE1750" i="1"/>
  <c r="C1751" i="1"/>
  <c r="E1751" i="1"/>
  <c r="F1751" i="1"/>
  <c r="H1751" i="1"/>
  <c r="I1751" i="1"/>
  <c r="J1751" i="1"/>
  <c r="L1751" i="1"/>
  <c r="M1751" i="1"/>
  <c r="V1751" i="1"/>
  <c r="AE1751" i="1"/>
  <c r="C1752" i="1"/>
  <c r="E1752" i="1"/>
  <c r="F1752" i="1"/>
  <c r="H1752" i="1"/>
  <c r="I1752" i="1"/>
  <c r="J1752" i="1"/>
  <c r="L1752" i="1"/>
  <c r="M1752" i="1"/>
  <c r="V1752" i="1"/>
  <c r="AE1752" i="1"/>
  <c r="C1753" i="1"/>
  <c r="E1753" i="1"/>
  <c r="F1753" i="1"/>
  <c r="H1753" i="1"/>
  <c r="I1753" i="1"/>
  <c r="J1753" i="1"/>
  <c r="L1753" i="1"/>
  <c r="M1753" i="1"/>
  <c r="V1753" i="1"/>
  <c r="AE1753" i="1"/>
  <c r="C1754" i="1"/>
  <c r="E1754" i="1"/>
  <c r="F1754" i="1"/>
  <c r="H1754" i="1"/>
  <c r="I1754" i="1"/>
  <c r="J1754" i="1"/>
  <c r="L1754" i="1"/>
  <c r="M1754" i="1"/>
  <c r="V1754" i="1"/>
  <c r="AE1754" i="1"/>
  <c r="C1755" i="1"/>
  <c r="E1755" i="1"/>
  <c r="F1755" i="1"/>
  <c r="H1755" i="1"/>
  <c r="I1755" i="1"/>
  <c r="J1755" i="1"/>
  <c r="L1755" i="1"/>
  <c r="M1755" i="1"/>
  <c r="AE1755" i="1"/>
  <c r="C1756" i="1"/>
  <c r="E1756" i="1"/>
  <c r="F1756" i="1"/>
  <c r="H1756" i="1"/>
  <c r="I1756" i="1"/>
  <c r="J1756" i="1"/>
  <c r="L1756" i="1"/>
  <c r="M1756" i="1"/>
  <c r="V1756" i="1"/>
  <c r="AE1756" i="1"/>
  <c r="C1757" i="1"/>
  <c r="E1757" i="1"/>
  <c r="F1757" i="1"/>
  <c r="H1757" i="1"/>
  <c r="I1757" i="1"/>
  <c r="J1757" i="1"/>
  <c r="L1757" i="1"/>
  <c r="M1757" i="1"/>
  <c r="V1757" i="1"/>
  <c r="AE1757" i="1"/>
  <c r="C1758" i="1"/>
  <c r="E1758" i="1"/>
  <c r="F1758" i="1"/>
  <c r="H1758" i="1"/>
  <c r="I1758" i="1"/>
  <c r="J1758" i="1"/>
  <c r="L1758" i="1"/>
  <c r="M1758" i="1"/>
  <c r="V1758" i="1"/>
  <c r="AE1758" i="1"/>
  <c r="C1759" i="1"/>
  <c r="E1759" i="1"/>
  <c r="F1759" i="1"/>
  <c r="H1759" i="1"/>
  <c r="I1759" i="1"/>
  <c r="J1759" i="1"/>
  <c r="L1759" i="1"/>
  <c r="M1759" i="1"/>
  <c r="V1759" i="1"/>
  <c r="AE1759" i="1"/>
  <c r="C1760" i="1"/>
  <c r="E1760" i="1"/>
  <c r="F1760" i="1"/>
  <c r="H1760" i="1"/>
  <c r="I1760" i="1"/>
  <c r="J1760" i="1"/>
  <c r="L1760" i="1"/>
  <c r="M1760" i="1"/>
  <c r="V1760" i="1"/>
  <c r="AE1760" i="1"/>
  <c r="C1761" i="1"/>
  <c r="E1761" i="1"/>
  <c r="F1761" i="1"/>
  <c r="H1761" i="1"/>
  <c r="I1761" i="1"/>
  <c r="J1761" i="1"/>
  <c r="L1761" i="1"/>
  <c r="M1761" i="1"/>
  <c r="V1761" i="1"/>
  <c r="AE1761" i="1"/>
  <c r="C1762" i="1"/>
  <c r="E1762" i="1"/>
  <c r="F1762" i="1"/>
  <c r="H1762" i="1"/>
  <c r="I1762" i="1"/>
  <c r="J1762" i="1"/>
  <c r="L1762" i="1"/>
  <c r="M1762" i="1"/>
  <c r="V1762" i="1"/>
  <c r="AE1762" i="1"/>
  <c r="C1763" i="1"/>
  <c r="E1763" i="1"/>
  <c r="F1763" i="1"/>
  <c r="H1763" i="1"/>
  <c r="I1763" i="1"/>
  <c r="J1763" i="1"/>
  <c r="L1763" i="1"/>
  <c r="M1763" i="1"/>
  <c r="V1763" i="1"/>
  <c r="AE1763" i="1"/>
  <c r="C1764" i="1"/>
  <c r="E1764" i="1"/>
  <c r="F1764" i="1"/>
  <c r="H1764" i="1"/>
  <c r="I1764" i="1"/>
  <c r="J1764" i="1"/>
  <c r="L1764" i="1"/>
  <c r="M1764" i="1"/>
  <c r="V1764" i="1"/>
  <c r="AE1764" i="1"/>
  <c r="C1765" i="1"/>
  <c r="E1765" i="1"/>
  <c r="F1765" i="1"/>
  <c r="H1765" i="1"/>
  <c r="I1765" i="1"/>
  <c r="J1765" i="1"/>
  <c r="L1765" i="1"/>
  <c r="M1765" i="1"/>
  <c r="V1765" i="1"/>
  <c r="AE1765" i="1"/>
  <c r="C1766" i="1"/>
  <c r="E1766" i="1"/>
  <c r="F1766" i="1"/>
  <c r="H1766" i="1"/>
  <c r="I1766" i="1"/>
  <c r="J1766" i="1"/>
  <c r="L1766" i="1"/>
  <c r="M1766" i="1"/>
  <c r="V1766" i="1"/>
  <c r="AE1766" i="1"/>
  <c r="C1767" i="1"/>
  <c r="E1767" i="1"/>
  <c r="F1767" i="1"/>
  <c r="H1767" i="1"/>
  <c r="I1767" i="1"/>
  <c r="J1767" i="1"/>
  <c r="L1767" i="1"/>
  <c r="M1767" i="1"/>
  <c r="V1767" i="1"/>
  <c r="AE1767" i="1"/>
  <c r="C1768" i="1"/>
  <c r="E1768" i="1"/>
  <c r="F1768" i="1"/>
  <c r="H1768" i="1"/>
  <c r="I1768" i="1"/>
  <c r="J1768" i="1"/>
  <c r="L1768" i="1"/>
  <c r="M1768" i="1"/>
  <c r="V1768" i="1"/>
  <c r="AE1768" i="1"/>
  <c r="C1769" i="1"/>
  <c r="E1769" i="1"/>
  <c r="F1769" i="1"/>
  <c r="H1769" i="1"/>
  <c r="I1769" i="1"/>
  <c r="J1769" i="1"/>
  <c r="L1769" i="1"/>
  <c r="M1769" i="1"/>
  <c r="V1769" i="1"/>
  <c r="AE1769" i="1"/>
  <c r="C1770" i="1"/>
  <c r="E1770" i="1"/>
  <c r="F1770" i="1"/>
  <c r="H1770" i="1"/>
  <c r="I1770" i="1"/>
  <c r="J1770" i="1"/>
  <c r="L1770" i="1"/>
  <c r="M1770" i="1"/>
  <c r="V1770" i="1"/>
  <c r="AE1770" i="1"/>
  <c r="C1771" i="1"/>
  <c r="E1771" i="1"/>
  <c r="F1771" i="1"/>
  <c r="H1771" i="1"/>
  <c r="I1771" i="1"/>
  <c r="J1771" i="1"/>
  <c r="L1771" i="1"/>
  <c r="M1771" i="1"/>
  <c r="V1771" i="1"/>
  <c r="AE1771" i="1"/>
  <c r="C1772" i="1"/>
  <c r="E1772" i="1"/>
  <c r="F1772" i="1"/>
  <c r="H1772" i="1"/>
  <c r="I1772" i="1"/>
  <c r="J1772" i="1"/>
  <c r="L1772" i="1"/>
  <c r="M1772" i="1"/>
  <c r="V1772" i="1"/>
  <c r="AE1772" i="1"/>
  <c r="C1773" i="1"/>
  <c r="E1773" i="1"/>
  <c r="F1773" i="1"/>
  <c r="H1773" i="1"/>
  <c r="I1773" i="1"/>
  <c r="J1773" i="1"/>
  <c r="L1773" i="1"/>
  <c r="M1773" i="1"/>
  <c r="V1773" i="1"/>
  <c r="AE1773" i="1"/>
  <c r="C1774" i="1"/>
  <c r="E1774" i="1"/>
  <c r="F1774" i="1"/>
  <c r="H1774" i="1"/>
  <c r="I1774" i="1"/>
  <c r="J1774" i="1"/>
  <c r="L1774" i="1"/>
  <c r="M1774" i="1"/>
  <c r="V1774" i="1"/>
  <c r="AE1774" i="1"/>
  <c r="C1775" i="1"/>
  <c r="E1775" i="1"/>
  <c r="F1775" i="1"/>
  <c r="H1775" i="1"/>
  <c r="I1775" i="1"/>
  <c r="J1775" i="1"/>
  <c r="L1775" i="1"/>
  <c r="M1775" i="1"/>
  <c r="V1775" i="1"/>
  <c r="AE1775" i="1"/>
  <c r="C1776" i="1"/>
  <c r="E1776" i="1"/>
  <c r="F1776" i="1"/>
  <c r="H1776" i="1"/>
  <c r="I1776" i="1"/>
  <c r="J1776" i="1"/>
  <c r="L1776" i="1"/>
  <c r="M1776" i="1"/>
  <c r="V1776" i="1"/>
  <c r="AE1776" i="1"/>
  <c r="C1777" i="1"/>
  <c r="E1777" i="1"/>
  <c r="F1777" i="1"/>
  <c r="H1777" i="1"/>
  <c r="I1777" i="1"/>
  <c r="J1777" i="1"/>
  <c r="L1777" i="1"/>
  <c r="M1777" i="1"/>
  <c r="V1777" i="1"/>
  <c r="AE1777" i="1"/>
  <c r="C1778" i="1"/>
  <c r="E1778" i="1"/>
  <c r="F1778" i="1"/>
  <c r="H1778" i="1"/>
  <c r="I1778" i="1"/>
  <c r="J1778" i="1"/>
  <c r="L1778" i="1"/>
  <c r="M1778" i="1"/>
  <c r="V1778" i="1"/>
  <c r="AE1778" i="1"/>
  <c r="C1779" i="1"/>
  <c r="E1779" i="1"/>
  <c r="F1779" i="1"/>
  <c r="H1779" i="1"/>
  <c r="I1779" i="1"/>
  <c r="J1779" i="1"/>
  <c r="L1779" i="1"/>
  <c r="M1779" i="1"/>
  <c r="V1779" i="1"/>
  <c r="AE1779" i="1"/>
  <c r="C1780" i="1"/>
  <c r="E1780" i="1"/>
  <c r="F1780" i="1"/>
  <c r="H1780" i="1"/>
  <c r="I1780" i="1"/>
  <c r="J1780" i="1"/>
  <c r="L1780" i="1"/>
  <c r="M1780" i="1"/>
  <c r="V1780" i="1"/>
  <c r="AE1780" i="1"/>
  <c r="C1781" i="1"/>
  <c r="E1781" i="1"/>
  <c r="F1781" i="1"/>
  <c r="H1781" i="1"/>
  <c r="I1781" i="1"/>
  <c r="J1781" i="1"/>
  <c r="L1781" i="1"/>
  <c r="M1781" i="1"/>
  <c r="V1781" i="1"/>
  <c r="AE1781" i="1"/>
  <c r="C1782" i="1"/>
  <c r="E1782" i="1"/>
  <c r="F1782" i="1"/>
  <c r="H1782" i="1"/>
  <c r="I1782" i="1"/>
  <c r="J1782" i="1"/>
  <c r="L1782" i="1"/>
  <c r="M1782" i="1"/>
  <c r="V1782" i="1"/>
  <c r="AE1782" i="1"/>
  <c r="C1783" i="1"/>
  <c r="E1783" i="1"/>
  <c r="F1783" i="1"/>
  <c r="H1783" i="1"/>
  <c r="I1783" i="1"/>
  <c r="J1783" i="1"/>
  <c r="L1783" i="1"/>
  <c r="M1783" i="1"/>
  <c r="V1783" i="1"/>
  <c r="AE1783" i="1"/>
  <c r="C1784" i="1"/>
  <c r="E1784" i="1"/>
  <c r="F1784" i="1"/>
  <c r="H1784" i="1"/>
  <c r="I1784" i="1"/>
  <c r="J1784" i="1"/>
  <c r="L1784" i="1"/>
  <c r="M1784" i="1"/>
  <c r="V1784" i="1"/>
  <c r="AE1784" i="1"/>
  <c r="C1785" i="1"/>
  <c r="E1785" i="1"/>
  <c r="F1785" i="1"/>
  <c r="H1785" i="1"/>
  <c r="I1785" i="1"/>
  <c r="J1785" i="1"/>
  <c r="L1785" i="1"/>
  <c r="M1785" i="1"/>
  <c r="V1785" i="1"/>
  <c r="AE1785" i="1"/>
  <c r="C1786" i="1"/>
  <c r="E1786" i="1"/>
  <c r="F1786" i="1"/>
  <c r="H1786" i="1"/>
  <c r="I1786" i="1"/>
  <c r="J1786" i="1"/>
  <c r="L1786" i="1"/>
  <c r="M1786" i="1"/>
  <c r="V1786" i="1"/>
  <c r="AE1786" i="1"/>
  <c r="C1787" i="1"/>
  <c r="E1787" i="1"/>
  <c r="F1787" i="1"/>
  <c r="H1787" i="1"/>
  <c r="I1787" i="1"/>
  <c r="J1787" i="1"/>
  <c r="L1787" i="1"/>
  <c r="M1787" i="1"/>
  <c r="V1787" i="1"/>
  <c r="AE1787" i="1"/>
  <c r="C1788" i="1"/>
  <c r="E1788" i="1"/>
  <c r="F1788" i="1"/>
  <c r="H1788" i="1"/>
  <c r="I1788" i="1"/>
  <c r="J1788" i="1"/>
  <c r="L1788" i="1"/>
  <c r="M1788" i="1"/>
  <c r="V1788" i="1"/>
  <c r="AE1788" i="1"/>
  <c r="C1789" i="1"/>
  <c r="E1789" i="1"/>
  <c r="F1789" i="1"/>
  <c r="H1789" i="1"/>
  <c r="I1789" i="1"/>
  <c r="J1789" i="1"/>
  <c r="L1789" i="1"/>
  <c r="M1789" i="1"/>
  <c r="V1789" i="1"/>
  <c r="AE1789" i="1"/>
  <c r="C1790" i="1"/>
  <c r="E1790" i="1"/>
  <c r="F1790" i="1"/>
  <c r="H1790" i="1"/>
  <c r="I1790" i="1"/>
  <c r="J1790" i="1"/>
  <c r="L1790" i="1"/>
  <c r="M1790" i="1"/>
  <c r="V1790" i="1"/>
  <c r="AE1790" i="1"/>
  <c r="C1791" i="1"/>
  <c r="E1791" i="1"/>
  <c r="F1791" i="1"/>
  <c r="H1791" i="1"/>
  <c r="I1791" i="1"/>
  <c r="J1791" i="1"/>
  <c r="L1791" i="1"/>
  <c r="M1791" i="1"/>
  <c r="V1791" i="1"/>
  <c r="AE1791" i="1"/>
  <c r="C1792" i="1"/>
  <c r="E1792" i="1"/>
  <c r="F1792" i="1"/>
  <c r="H1792" i="1"/>
  <c r="I1792" i="1"/>
  <c r="J1792" i="1"/>
  <c r="L1792" i="1"/>
  <c r="M1792" i="1"/>
  <c r="V1792" i="1"/>
  <c r="AE1792" i="1"/>
  <c r="C1793" i="1"/>
  <c r="E1793" i="1"/>
  <c r="F1793" i="1"/>
  <c r="H1793" i="1"/>
  <c r="I1793" i="1"/>
  <c r="J1793" i="1"/>
  <c r="L1793" i="1"/>
  <c r="M1793" i="1"/>
  <c r="V1793" i="1"/>
  <c r="AE1793" i="1"/>
  <c r="C1794" i="1"/>
  <c r="E1794" i="1"/>
  <c r="F1794" i="1"/>
  <c r="H1794" i="1"/>
  <c r="I1794" i="1"/>
  <c r="J1794" i="1"/>
  <c r="L1794" i="1"/>
  <c r="M1794" i="1"/>
  <c r="V1794" i="1"/>
  <c r="AE1794" i="1"/>
  <c r="C1795" i="1"/>
  <c r="E1795" i="1"/>
  <c r="F1795" i="1"/>
  <c r="H1795" i="1"/>
  <c r="I1795" i="1"/>
  <c r="J1795" i="1"/>
  <c r="L1795" i="1"/>
  <c r="M1795" i="1"/>
  <c r="V1795" i="1"/>
  <c r="AE1795" i="1"/>
  <c r="C1796" i="1"/>
  <c r="E1796" i="1"/>
  <c r="F1796" i="1"/>
  <c r="H1796" i="1"/>
  <c r="I1796" i="1"/>
  <c r="J1796" i="1"/>
  <c r="L1796" i="1"/>
  <c r="M1796" i="1"/>
  <c r="V1796" i="1"/>
  <c r="AE1796" i="1"/>
  <c r="C1797" i="1"/>
  <c r="E1797" i="1"/>
  <c r="F1797" i="1"/>
  <c r="H1797" i="1"/>
  <c r="I1797" i="1"/>
  <c r="J1797" i="1"/>
  <c r="L1797" i="1"/>
  <c r="M1797" i="1"/>
  <c r="V1797" i="1"/>
  <c r="AE1797" i="1"/>
  <c r="C1798" i="1"/>
  <c r="E1798" i="1"/>
  <c r="F1798" i="1"/>
  <c r="H1798" i="1"/>
  <c r="I1798" i="1"/>
  <c r="J1798" i="1"/>
  <c r="L1798" i="1"/>
  <c r="M1798" i="1"/>
  <c r="V1798" i="1"/>
  <c r="AE1798" i="1"/>
  <c r="C1799" i="1"/>
  <c r="E1799" i="1"/>
  <c r="F1799" i="1"/>
  <c r="H1799" i="1"/>
  <c r="I1799" i="1"/>
  <c r="J1799" i="1"/>
  <c r="L1799" i="1"/>
  <c r="M1799" i="1"/>
  <c r="V1799" i="1"/>
  <c r="AE1799" i="1"/>
  <c r="C1800" i="1"/>
  <c r="E1800" i="1"/>
  <c r="F1800" i="1"/>
  <c r="H1800" i="1"/>
  <c r="I1800" i="1"/>
  <c r="J1800" i="1"/>
  <c r="L1800" i="1"/>
  <c r="M1800" i="1"/>
  <c r="V1800" i="1"/>
  <c r="AE1800" i="1"/>
  <c r="C1801" i="1"/>
  <c r="E1801" i="1"/>
  <c r="F1801" i="1"/>
  <c r="H1801" i="1"/>
  <c r="I1801" i="1"/>
  <c r="J1801" i="1"/>
  <c r="L1801" i="1"/>
  <c r="M1801" i="1"/>
  <c r="V1801" i="1"/>
  <c r="AE1801" i="1"/>
  <c r="C1802" i="1"/>
  <c r="E1802" i="1"/>
  <c r="F1802" i="1"/>
  <c r="H1802" i="1"/>
  <c r="I1802" i="1"/>
  <c r="J1802" i="1"/>
  <c r="L1802" i="1"/>
  <c r="M1802" i="1"/>
  <c r="V1802" i="1"/>
  <c r="AE1802" i="1"/>
  <c r="C1803" i="1"/>
  <c r="E1803" i="1"/>
  <c r="F1803" i="1"/>
  <c r="H1803" i="1"/>
  <c r="I1803" i="1"/>
  <c r="J1803" i="1"/>
  <c r="L1803" i="1"/>
  <c r="M1803" i="1"/>
  <c r="V1803" i="1"/>
  <c r="AE1803" i="1"/>
  <c r="C1804" i="1"/>
  <c r="E1804" i="1"/>
  <c r="F1804" i="1"/>
  <c r="H1804" i="1"/>
  <c r="I1804" i="1"/>
  <c r="J1804" i="1"/>
  <c r="L1804" i="1"/>
  <c r="M1804" i="1"/>
  <c r="V1804" i="1"/>
  <c r="AE1804" i="1"/>
  <c r="C1805" i="1"/>
  <c r="E1805" i="1"/>
  <c r="F1805" i="1"/>
  <c r="H1805" i="1"/>
  <c r="I1805" i="1"/>
  <c r="J1805" i="1"/>
  <c r="L1805" i="1"/>
  <c r="M1805" i="1"/>
  <c r="V1805" i="1"/>
  <c r="AE1805" i="1"/>
  <c r="C1806" i="1"/>
  <c r="E1806" i="1"/>
  <c r="F1806" i="1"/>
  <c r="H1806" i="1"/>
  <c r="I1806" i="1"/>
  <c r="J1806" i="1"/>
  <c r="L1806" i="1"/>
  <c r="M1806" i="1"/>
  <c r="V1806" i="1"/>
  <c r="AE1806" i="1"/>
  <c r="C1807" i="1"/>
  <c r="E1807" i="1"/>
  <c r="F1807" i="1"/>
  <c r="H1807" i="1"/>
  <c r="I1807" i="1"/>
  <c r="J1807" i="1"/>
  <c r="L1807" i="1"/>
  <c r="M1807" i="1"/>
  <c r="V1807" i="1"/>
  <c r="AE1807" i="1"/>
  <c r="C1808" i="1"/>
  <c r="E1808" i="1"/>
  <c r="F1808" i="1"/>
  <c r="H1808" i="1"/>
  <c r="I1808" i="1"/>
  <c r="J1808" i="1"/>
  <c r="L1808" i="1"/>
  <c r="M1808" i="1"/>
  <c r="V1808" i="1"/>
  <c r="AE1808" i="1"/>
  <c r="C1809" i="1"/>
  <c r="E1809" i="1"/>
  <c r="F1809" i="1"/>
  <c r="H1809" i="1"/>
  <c r="I1809" i="1"/>
  <c r="J1809" i="1"/>
  <c r="L1809" i="1"/>
  <c r="M1809" i="1"/>
  <c r="V1809" i="1"/>
  <c r="AE1809" i="1"/>
  <c r="C1810" i="1"/>
  <c r="E1810" i="1"/>
  <c r="F1810" i="1"/>
  <c r="H1810" i="1"/>
  <c r="I1810" i="1"/>
  <c r="J1810" i="1"/>
  <c r="L1810" i="1"/>
  <c r="M1810" i="1"/>
  <c r="V1810" i="1"/>
  <c r="AE1810" i="1"/>
  <c r="C1811" i="1"/>
  <c r="E1811" i="1"/>
  <c r="F1811" i="1"/>
  <c r="H1811" i="1"/>
  <c r="I1811" i="1"/>
  <c r="J1811" i="1"/>
  <c r="L1811" i="1"/>
  <c r="M1811" i="1"/>
  <c r="V1811" i="1"/>
  <c r="AE1811" i="1"/>
  <c r="C1812" i="1"/>
  <c r="E1812" i="1"/>
  <c r="F1812" i="1"/>
  <c r="H1812" i="1"/>
  <c r="I1812" i="1"/>
  <c r="J1812" i="1"/>
  <c r="L1812" i="1"/>
  <c r="M1812" i="1"/>
  <c r="V1812" i="1"/>
  <c r="AE1812" i="1"/>
  <c r="C1813" i="1"/>
  <c r="E1813" i="1"/>
  <c r="F1813" i="1"/>
  <c r="H1813" i="1"/>
  <c r="I1813" i="1"/>
  <c r="J1813" i="1"/>
  <c r="L1813" i="1"/>
  <c r="M1813" i="1"/>
  <c r="V1813" i="1"/>
  <c r="AE1813" i="1"/>
  <c r="C1814" i="1"/>
  <c r="E1814" i="1"/>
  <c r="F1814" i="1"/>
  <c r="H1814" i="1"/>
  <c r="I1814" i="1"/>
  <c r="J1814" i="1"/>
  <c r="L1814" i="1"/>
  <c r="M1814" i="1"/>
  <c r="V1814" i="1"/>
  <c r="AE1814" i="1"/>
  <c r="C1815" i="1"/>
  <c r="E1815" i="1"/>
  <c r="F1815" i="1"/>
  <c r="H1815" i="1"/>
  <c r="I1815" i="1"/>
  <c r="J1815" i="1"/>
  <c r="L1815" i="1"/>
  <c r="M1815" i="1"/>
  <c r="V1815" i="1"/>
  <c r="AE1815" i="1"/>
  <c r="C1816" i="1"/>
  <c r="E1816" i="1"/>
  <c r="F1816" i="1"/>
  <c r="H1816" i="1"/>
  <c r="I1816" i="1"/>
  <c r="J1816" i="1"/>
  <c r="L1816" i="1"/>
  <c r="M1816" i="1"/>
  <c r="V1816" i="1"/>
  <c r="AE1816" i="1"/>
  <c r="C1817" i="1"/>
  <c r="E1817" i="1"/>
  <c r="F1817" i="1"/>
  <c r="H1817" i="1"/>
  <c r="I1817" i="1"/>
  <c r="J1817" i="1"/>
  <c r="L1817" i="1"/>
  <c r="M1817" i="1"/>
  <c r="V1817" i="1"/>
  <c r="AE1817" i="1"/>
  <c r="C1818" i="1"/>
  <c r="E1818" i="1"/>
  <c r="F1818" i="1"/>
  <c r="H1818" i="1"/>
  <c r="I1818" i="1"/>
  <c r="J1818" i="1"/>
  <c r="L1818" i="1"/>
  <c r="M1818" i="1"/>
  <c r="V1818" i="1"/>
  <c r="AE1818" i="1"/>
  <c r="C1819" i="1"/>
  <c r="E1819" i="1"/>
  <c r="F1819" i="1"/>
  <c r="H1819" i="1"/>
  <c r="I1819" i="1"/>
  <c r="J1819" i="1"/>
  <c r="L1819" i="1"/>
  <c r="M1819" i="1"/>
  <c r="V1819" i="1"/>
  <c r="AE1819" i="1"/>
  <c r="C1820" i="1"/>
  <c r="E1820" i="1"/>
  <c r="F1820" i="1"/>
  <c r="H1820" i="1"/>
  <c r="I1820" i="1"/>
  <c r="J1820" i="1"/>
  <c r="L1820" i="1"/>
  <c r="M1820" i="1"/>
  <c r="V1820" i="1"/>
  <c r="AE1820" i="1"/>
  <c r="C1821" i="1"/>
  <c r="E1821" i="1"/>
  <c r="F1821" i="1"/>
  <c r="H1821" i="1"/>
  <c r="I1821" i="1"/>
  <c r="J1821" i="1"/>
  <c r="L1821" i="1"/>
  <c r="M1821" i="1"/>
  <c r="V1821" i="1"/>
  <c r="AE1821" i="1"/>
  <c r="C1822" i="1"/>
  <c r="E1822" i="1"/>
  <c r="F1822" i="1"/>
  <c r="H1822" i="1"/>
  <c r="I1822" i="1"/>
  <c r="J1822" i="1"/>
  <c r="L1822" i="1"/>
  <c r="M1822" i="1"/>
  <c r="V1822" i="1"/>
  <c r="AE1822" i="1"/>
  <c r="C1823" i="1"/>
  <c r="E1823" i="1"/>
  <c r="F1823" i="1"/>
  <c r="H1823" i="1"/>
  <c r="I1823" i="1"/>
  <c r="J1823" i="1"/>
  <c r="L1823" i="1"/>
  <c r="M1823" i="1"/>
  <c r="V1823" i="1"/>
  <c r="AE1823" i="1"/>
  <c r="C1824" i="1"/>
  <c r="E1824" i="1"/>
  <c r="F1824" i="1"/>
  <c r="H1824" i="1"/>
  <c r="I1824" i="1"/>
  <c r="J1824" i="1"/>
  <c r="L1824" i="1"/>
  <c r="M1824" i="1"/>
  <c r="V1824" i="1"/>
  <c r="AE1824" i="1"/>
  <c r="C1825" i="1"/>
  <c r="E1825" i="1"/>
  <c r="F1825" i="1"/>
  <c r="H1825" i="1"/>
  <c r="I1825" i="1"/>
  <c r="J1825" i="1"/>
  <c r="L1825" i="1"/>
  <c r="M1825" i="1"/>
  <c r="V1825" i="1"/>
  <c r="AE1825" i="1"/>
  <c r="C1826" i="1"/>
  <c r="E1826" i="1"/>
  <c r="F1826" i="1"/>
  <c r="H1826" i="1"/>
  <c r="I1826" i="1"/>
  <c r="J1826" i="1"/>
  <c r="L1826" i="1"/>
  <c r="M1826" i="1"/>
  <c r="V1826" i="1"/>
  <c r="AE1826" i="1"/>
  <c r="C1827" i="1"/>
  <c r="E1827" i="1"/>
  <c r="F1827" i="1"/>
  <c r="H1827" i="1"/>
  <c r="I1827" i="1"/>
  <c r="J1827" i="1"/>
  <c r="L1827" i="1"/>
  <c r="M1827" i="1"/>
  <c r="V1827" i="1"/>
  <c r="AE1827" i="1"/>
  <c r="C1828" i="1"/>
  <c r="E1828" i="1"/>
  <c r="F1828" i="1"/>
  <c r="H1828" i="1"/>
  <c r="I1828" i="1"/>
  <c r="J1828" i="1"/>
  <c r="L1828" i="1"/>
  <c r="M1828" i="1"/>
  <c r="V1828" i="1"/>
  <c r="AE1828" i="1"/>
  <c r="C1829" i="1"/>
  <c r="E1829" i="1"/>
  <c r="F1829" i="1"/>
  <c r="H1829" i="1"/>
  <c r="I1829" i="1"/>
  <c r="J1829" i="1"/>
  <c r="L1829" i="1"/>
  <c r="M1829" i="1"/>
  <c r="V1829" i="1"/>
  <c r="AE1829" i="1"/>
  <c r="C1830" i="1"/>
  <c r="E1830" i="1"/>
  <c r="F1830" i="1"/>
  <c r="H1830" i="1"/>
  <c r="I1830" i="1"/>
  <c r="J1830" i="1"/>
  <c r="L1830" i="1"/>
  <c r="M1830" i="1"/>
  <c r="V1830" i="1"/>
  <c r="AE1830" i="1"/>
  <c r="C1831" i="1"/>
  <c r="E1831" i="1"/>
  <c r="F1831" i="1"/>
  <c r="H1831" i="1"/>
  <c r="I1831" i="1"/>
  <c r="J1831" i="1"/>
  <c r="L1831" i="1"/>
  <c r="M1831" i="1"/>
  <c r="V1831" i="1"/>
  <c r="AE1831" i="1"/>
  <c r="C1832" i="1"/>
  <c r="E1832" i="1"/>
  <c r="F1832" i="1"/>
  <c r="H1832" i="1"/>
  <c r="I1832" i="1"/>
  <c r="J1832" i="1"/>
  <c r="L1832" i="1"/>
  <c r="M1832" i="1"/>
  <c r="V1832" i="1"/>
  <c r="AE1832" i="1"/>
  <c r="C1833" i="1"/>
  <c r="E1833" i="1"/>
  <c r="F1833" i="1"/>
  <c r="H1833" i="1"/>
  <c r="I1833" i="1"/>
  <c r="J1833" i="1"/>
  <c r="L1833" i="1"/>
  <c r="M1833" i="1"/>
  <c r="V1833" i="1"/>
  <c r="AE1833" i="1"/>
  <c r="C1834" i="1"/>
  <c r="E1834" i="1"/>
  <c r="F1834" i="1"/>
  <c r="H1834" i="1"/>
  <c r="I1834" i="1"/>
  <c r="J1834" i="1"/>
  <c r="L1834" i="1"/>
  <c r="M1834" i="1"/>
  <c r="V1834" i="1"/>
  <c r="AE1834" i="1"/>
  <c r="C1835" i="1"/>
  <c r="E1835" i="1"/>
  <c r="F1835" i="1"/>
  <c r="H1835" i="1"/>
  <c r="I1835" i="1"/>
  <c r="J1835" i="1"/>
  <c r="L1835" i="1"/>
  <c r="M1835" i="1"/>
  <c r="V1835" i="1"/>
  <c r="AE1835" i="1"/>
  <c r="C1836" i="1"/>
  <c r="E1836" i="1"/>
  <c r="F1836" i="1"/>
  <c r="H1836" i="1"/>
  <c r="I1836" i="1"/>
  <c r="J1836" i="1"/>
  <c r="L1836" i="1"/>
  <c r="M1836" i="1"/>
  <c r="V1836" i="1"/>
  <c r="AE1836" i="1"/>
  <c r="C1837" i="1"/>
  <c r="E1837" i="1"/>
  <c r="F1837" i="1"/>
  <c r="H1837" i="1"/>
  <c r="I1837" i="1"/>
  <c r="J1837" i="1"/>
  <c r="L1837" i="1"/>
  <c r="M1837" i="1"/>
  <c r="V1837" i="1"/>
  <c r="AE1837" i="1"/>
  <c r="C1838" i="1"/>
  <c r="E1838" i="1"/>
  <c r="F1838" i="1"/>
  <c r="H1838" i="1"/>
  <c r="I1838" i="1"/>
  <c r="J1838" i="1"/>
  <c r="L1838" i="1"/>
  <c r="M1838" i="1"/>
  <c r="V1838" i="1"/>
  <c r="AE1838" i="1"/>
  <c r="C1839" i="1"/>
  <c r="E1839" i="1"/>
  <c r="F1839" i="1"/>
  <c r="H1839" i="1"/>
  <c r="I1839" i="1"/>
  <c r="J1839" i="1"/>
  <c r="L1839" i="1"/>
  <c r="M1839" i="1"/>
  <c r="V1839" i="1"/>
  <c r="AE1839" i="1"/>
  <c r="C1840" i="1"/>
  <c r="E1840" i="1"/>
  <c r="F1840" i="1"/>
  <c r="H1840" i="1"/>
  <c r="I1840" i="1"/>
  <c r="J1840" i="1"/>
  <c r="L1840" i="1"/>
  <c r="M1840" i="1"/>
  <c r="AE1840" i="1"/>
  <c r="C1841" i="1"/>
  <c r="E1841" i="1"/>
  <c r="F1841" i="1"/>
  <c r="H1841" i="1"/>
  <c r="I1841" i="1"/>
  <c r="J1841" i="1"/>
  <c r="L1841" i="1"/>
  <c r="M1841" i="1"/>
  <c r="AE1841" i="1"/>
  <c r="C1842" i="1"/>
  <c r="E1842" i="1"/>
  <c r="F1842" i="1"/>
  <c r="H1842" i="1"/>
  <c r="I1842" i="1"/>
  <c r="J1842" i="1"/>
  <c r="L1842" i="1"/>
  <c r="M1842" i="1"/>
  <c r="V1842" i="1"/>
  <c r="AE1842" i="1"/>
  <c r="C1843" i="1"/>
  <c r="E1843" i="1"/>
  <c r="F1843" i="1"/>
  <c r="H1843" i="1"/>
  <c r="I1843" i="1"/>
  <c r="J1843" i="1"/>
  <c r="L1843" i="1"/>
  <c r="M1843" i="1"/>
  <c r="V1843" i="1"/>
  <c r="AE1843" i="1"/>
  <c r="C1844" i="1"/>
  <c r="E1844" i="1"/>
  <c r="F1844" i="1"/>
  <c r="H1844" i="1"/>
  <c r="I1844" i="1"/>
  <c r="J1844" i="1"/>
  <c r="L1844" i="1"/>
  <c r="M1844" i="1"/>
  <c r="V1844" i="1"/>
  <c r="AE1844" i="1"/>
  <c r="C1845" i="1"/>
  <c r="E1845" i="1"/>
  <c r="F1845" i="1"/>
  <c r="H1845" i="1"/>
  <c r="I1845" i="1"/>
  <c r="J1845" i="1"/>
  <c r="L1845" i="1"/>
  <c r="M1845" i="1"/>
  <c r="V1845" i="1"/>
  <c r="AE1845" i="1"/>
  <c r="C1846" i="1"/>
  <c r="E1846" i="1"/>
  <c r="F1846" i="1"/>
  <c r="H1846" i="1"/>
  <c r="I1846" i="1"/>
  <c r="J1846" i="1"/>
  <c r="L1846" i="1"/>
  <c r="M1846" i="1"/>
  <c r="V1846" i="1"/>
  <c r="AE1846" i="1"/>
  <c r="C1847" i="1"/>
  <c r="E1847" i="1"/>
  <c r="F1847" i="1"/>
  <c r="H1847" i="1"/>
  <c r="I1847" i="1"/>
  <c r="J1847" i="1"/>
  <c r="L1847" i="1"/>
  <c r="M1847" i="1"/>
  <c r="V1847" i="1"/>
  <c r="AE1847" i="1"/>
  <c r="C1848" i="1"/>
  <c r="E1848" i="1"/>
  <c r="F1848" i="1"/>
  <c r="H1848" i="1"/>
  <c r="I1848" i="1"/>
  <c r="J1848" i="1"/>
  <c r="L1848" i="1"/>
  <c r="M1848" i="1"/>
  <c r="V1848" i="1"/>
  <c r="AE1848" i="1"/>
  <c r="C1849" i="1"/>
  <c r="E1849" i="1"/>
  <c r="F1849" i="1"/>
  <c r="H1849" i="1"/>
  <c r="I1849" i="1"/>
  <c r="J1849" i="1"/>
  <c r="L1849" i="1"/>
  <c r="M1849" i="1"/>
  <c r="V1849" i="1"/>
  <c r="AE1849" i="1"/>
  <c r="C1850" i="1"/>
  <c r="E1850" i="1"/>
  <c r="F1850" i="1"/>
  <c r="H1850" i="1"/>
  <c r="I1850" i="1"/>
  <c r="J1850" i="1"/>
  <c r="L1850" i="1"/>
  <c r="M1850" i="1"/>
  <c r="V1850" i="1"/>
  <c r="AE1850" i="1"/>
  <c r="C1851" i="1"/>
  <c r="E1851" i="1"/>
  <c r="F1851" i="1"/>
  <c r="H1851" i="1"/>
  <c r="I1851" i="1"/>
  <c r="J1851" i="1"/>
  <c r="L1851" i="1"/>
  <c r="M1851" i="1"/>
  <c r="V1851" i="1"/>
  <c r="AE1851" i="1"/>
  <c r="C1852" i="1"/>
  <c r="E1852" i="1"/>
  <c r="F1852" i="1"/>
  <c r="H1852" i="1"/>
  <c r="I1852" i="1"/>
  <c r="J1852" i="1"/>
  <c r="L1852" i="1"/>
  <c r="M1852" i="1"/>
  <c r="V1852" i="1"/>
  <c r="AE1852" i="1"/>
  <c r="C1853" i="1"/>
  <c r="E1853" i="1"/>
  <c r="F1853" i="1"/>
  <c r="H1853" i="1"/>
  <c r="I1853" i="1"/>
  <c r="J1853" i="1"/>
  <c r="L1853" i="1"/>
  <c r="M1853" i="1"/>
  <c r="V1853" i="1"/>
  <c r="AE1853" i="1"/>
  <c r="C1854" i="1"/>
  <c r="E1854" i="1"/>
  <c r="F1854" i="1"/>
  <c r="H1854" i="1"/>
  <c r="I1854" i="1"/>
  <c r="J1854" i="1"/>
  <c r="L1854" i="1"/>
  <c r="M1854" i="1"/>
  <c r="V1854" i="1"/>
  <c r="AE1854" i="1"/>
  <c r="C1855" i="1"/>
  <c r="E1855" i="1"/>
  <c r="F1855" i="1"/>
  <c r="H1855" i="1"/>
  <c r="I1855" i="1"/>
  <c r="J1855" i="1"/>
  <c r="L1855" i="1"/>
  <c r="M1855" i="1"/>
  <c r="V1855" i="1"/>
  <c r="AE1855" i="1"/>
  <c r="C1856" i="1"/>
  <c r="E1856" i="1"/>
  <c r="F1856" i="1"/>
  <c r="H1856" i="1"/>
  <c r="I1856" i="1"/>
  <c r="J1856" i="1"/>
  <c r="L1856" i="1"/>
  <c r="M1856" i="1"/>
  <c r="V1856" i="1"/>
  <c r="AE1856" i="1"/>
  <c r="C1857" i="1"/>
  <c r="E1857" i="1"/>
  <c r="F1857" i="1"/>
  <c r="H1857" i="1"/>
  <c r="I1857" i="1"/>
  <c r="J1857" i="1"/>
  <c r="L1857" i="1"/>
  <c r="M1857" i="1"/>
  <c r="V1857" i="1"/>
  <c r="AE1857" i="1"/>
  <c r="C1858" i="1"/>
  <c r="E1858" i="1"/>
  <c r="F1858" i="1"/>
  <c r="H1858" i="1"/>
  <c r="I1858" i="1"/>
  <c r="J1858" i="1"/>
  <c r="L1858" i="1"/>
  <c r="M1858" i="1"/>
  <c r="V1858" i="1"/>
  <c r="AE1858" i="1"/>
  <c r="C1859" i="1"/>
  <c r="E1859" i="1"/>
  <c r="F1859" i="1"/>
  <c r="H1859" i="1"/>
  <c r="I1859" i="1"/>
  <c r="J1859" i="1"/>
  <c r="L1859" i="1"/>
  <c r="M1859" i="1"/>
  <c r="V1859" i="1"/>
  <c r="AE1859" i="1"/>
  <c r="C1860" i="1"/>
  <c r="E1860" i="1"/>
  <c r="F1860" i="1"/>
  <c r="H1860" i="1"/>
  <c r="I1860" i="1"/>
  <c r="J1860" i="1"/>
  <c r="L1860" i="1"/>
  <c r="M1860" i="1"/>
  <c r="V1860" i="1"/>
  <c r="AE1860" i="1"/>
  <c r="C1861" i="1"/>
  <c r="E1861" i="1"/>
  <c r="F1861" i="1"/>
  <c r="H1861" i="1"/>
  <c r="I1861" i="1"/>
  <c r="J1861" i="1"/>
  <c r="L1861" i="1"/>
  <c r="M1861" i="1"/>
  <c r="V1861" i="1"/>
  <c r="AE1861" i="1"/>
  <c r="C1862" i="1"/>
  <c r="E1862" i="1"/>
  <c r="F1862" i="1"/>
  <c r="H1862" i="1"/>
  <c r="I1862" i="1"/>
  <c r="J1862" i="1"/>
  <c r="L1862" i="1"/>
  <c r="M1862" i="1"/>
  <c r="V1862" i="1"/>
  <c r="AE1862" i="1"/>
  <c r="C1863" i="1"/>
  <c r="E1863" i="1"/>
  <c r="F1863" i="1"/>
  <c r="H1863" i="1"/>
  <c r="I1863" i="1"/>
  <c r="J1863" i="1"/>
  <c r="L1863" i="1"/>
  <c r="M1863" i="1"/>
  <c r="V1863" i="1"/>
  <c r="AE1863" i="1"/>
  <c r="C1864" i="1"/>
  <c r="E1864" i="1"/>
  <c r="F1864" i="1"/>
  <c r="H1864" i="1"/>
  <c r="I1864" i="1"/>
  <c r="J1864" i="1"/>
  <c r="L1864" i="1"/>
  <c r="M1864" i="1"/>
  <c r="V1864" i="1"/>
  <c r="AE1864" i="1"/>
  <c r="C1865" i="1"/>
  <c r="E1865" i="1"/>
  <c r="F1865" i="1"/>
  <c r="H1865" i="1"/>
  <c r="I1865" i="1"/>
  <c r="J1865" i="1"/>
  <c r="L1865" i="1"/>
  <c r="M1865" i="1"/>
  <c r="V1865" i="1"/>
  <c r="AE1865" i="1"/>
  <c r="C1866" i="1"/>
  <c r="E1866" i="1"/>
  <c r="F1866" i="1"/>
  <c r="H1866" i="1"/>
  <c r="I1866" i="1"/>
  <c r="J1866" i="1"/>
  <c r="L1866" i="1"/>
  <c r="M1866" i="1"/>
  <c r="V1866" i="1"/>
  <c r="AE1866" i="1"/>
  <c r="C1867" i="1"/>
  <c r="E1867" i="1"/>
  <c r="F1867" i="1"/>
  <c r="H1867" i="1"/>
  <c r="I1867" i="1"/>
  <c r="J1867" i="1"/>
  <c r="L1867" i="1"/>
  <c r="M1867" i="1"/>
  <c r="V1867" i="1"/>
  <c r="AE1867" i="1"/>
  <c r="C1868" i="1"/>
  <c r="E1868" i="1"/>
  <c r="F1868" i="1"/>
  <c r="H1868" i="1"/>
  <c r="I1868" i="1"/>
  <c r="J1868" i="1"/>
  <c r="L1868" i="1"/>
  <c r="M1868" i="1"/>
  <c r="V1868" i="1"/>
  <c r="AE1868" i="1"/>
  <c r="C1869" i="1"/>
  <c r="E1869" i="1"/>
  <c r="F1869" i="1"/>
  <c r="H1869" i="1"/>
  <c r="I1869" i="1"/>
  <c r="J1869" i="1"/>
  <c r="L1869" i="1"/>
  <c r="M1869" i="1"/>
  <c r="V1869" i="1"/>
  <c r="AE1869" i="1"/>
  <c r="C1870" i="1"/>
  <c r="E1870" i="1"/>
  <c r="F1870" i="1"/>
  <c r="H1870" i="1"/>
  <c r="I1870" i="1"/>
  <c r="J1870" i="1"/>
  <c r="L1870" i="1"/>
  <c r="M1870" i="1"/>
  <c r="V1870" i="1"/>
  <c r="AE1870" i="1"/>
  <c r="C1871" i="1"/>
  <c r="E1871" i="1"/>
  <c r="F1871" i="1"/>
  <c r="H1871" i="1"/>
  <c r="I1871" i="1"/>
  <c r="J1871" i="1"/>
  <c r="L1871" i="1"/>
  <c r="M1871" i="1"/>
  <c r="V1871" i="1"/>
  <c r="AE1871" i="1"/>
  <c r="C1872" i="1"/>
  <c r="E1872" i="1"/>
  <c r="F1872" i="1"/>
  <c r="H1872" i="1"/>
  <c r="I1872" i="1"/>
  <c r="J1872" i="1"/>
  <c r="L1872" i="1"/>
  <c r="M1872" i="1"/>
  <c r="V1872" i="1"/>
  <c r="AE1872" i="1"/>
  <c r="C1873" i="1"/>
  <c r="E1873" i="1"/>
  <c r="F1873" i="1"/>
  <c r="H1873" i="1"/>
  <c r="I1873" i="1"/>
  <c r="J1873" i="1"/>
  <c r="L1873" i="1"/>
  <c r="M1873" i="1"/>
  <c r="V1873" i="1"/>
  <c r="AE1873" i="1"/>
  <c r="C1874" i="1"/>
  <c r="E1874" i="1"/>
  <c r="F1874" i="1"/>
  <c r="H1874" i="1"/>
  <c r="I1874" i="1"/>
  <c r="J1874" i="1"/>
  <c r="L1874" i="1"/>
  <c r="M1874" i="1"/>
  <c r="V1874" i="1"/>
  <c r="AE1874" i="1"/>
  <c r="C1875" i="1"/>
  <c r="E1875" i="1"/>
  <c r="F1875" i="1"/>
  <c r="H1875" i="1"/>
  <c r="I1875" i="1"/>
  <c r="J1875" i="1"/>
  <c r="L1875" i="1"/>
  <c r="M1875" i="1"/>
  <c r="V1875" i="1"/>
  <c r="AE1875" i="1"/>
  <c r="C1876" i="1"/>
  <c r="E1876" i="1"/>
  <c r="F1876" i="1"/>
  <c r="H1876" i="1"/>
  <c r="I1876" i="1"/>
  <c r="J1876" i="1"/>
  <c r="L1876" i="1"/>
  <c r="M1876" i="1"/>
  <c r="V1876" i="1"/>
  <c r="AE1876" i="1"/>
  <c r="C1877" i="1"/>
  <c r="E1877" i="1"/>
  <c r="F1877" i="1"/>
  <c r="H1877" i="1"/>
  <c r="I1877" i="1"/>
  <c r="J1877" i="1"/>
  <c r="L1877" i="1"/>
  <c r="M1877" i="1"/>
  <c r="V1877" i="1"/>
  <c r="AE1877" i="1"/>
  <c r="C1878" i="1"/>
  <c r="E1878" i="1"/>
  <c r="F1878" i="1"/>
  <c r="H1878" i="1"/>
  <c r="I1878" i="1"/>
  <c r="J1878" i="1"/>
  <c r="L1878" i="1"/>
  <c r="M1878" i="1"/>
  <c r="V1878" i="1"/>
  <c r="AE1878" i="1"/>
  <c r="C1879" i="1"/>
  <c r="E1879" i="1"/>
  <c r="F1879" i="1"/>
  <c r="H1879" i="1"/>
  <c r="I1879" i="1"/>
  <c r="J1879" i="1"/>
  <c r="L1879" i="1"/>
  <c r="M1879" i="1"/>
  <c r="V1879" i="1"/>
  <c r="AE1879" i="1"/>
  <c r="C1880" i="1"/>
  <c r="E1880" i="1"/>
  <c r="F1880" i="1"/>
  <c r="H1880" i="1"/>
  <c r="I1880" i="1"/>
  <c r="J1880" i="1"/>
  <c r="L1880" i="1"/>
  <c r="M1880" i="1"/>
  <c r="V1880" i="1"/>
  <c r="AE1880" i="1"/>
  <c r="C1881" i="1"/>
  <c r="E1881" i="1"/>
  <c r="F1881" i="1"/>
  <c r="H1881" i="1"/>
  <c r="I1881" i="1"/>
  <c r="J1881" i="1"/>
  <c r="L1881" i="1"/>
  <c r="M1881" i="1"/>
  <c r="V1881" i="1"/>
  <c r="AE1881" i="1"/>
  <c r="C1882" i="1"/>
  <c r="E1882" i="1"/>
  <c r="F1882" i="1"/>
  <c r="H1882" i="1"/>
  <c r="I1882" i="1"/>
  <c r="J1882" i="1"/>
  <c r="L1882" i="1"/>
  <c r="M1882" i="1"/>
  <c r="V1882" i="1"/>
  <c r="AE1882" i="1"/>
  <c r="C1883" i="1"/>
  <c r="E1883" i="1"/>
  <c r="F1883" i="1"/>
  <c r="H1883" i="1"/>
  <c r="I1883" i="1"/>
  <c r="J1883" i="1"/>
  <c r="L1883" i="1"/>
  <c r="M1883" i="1"/>
  <c r="V1883" i="1"/>
  <c r="AE1883" i="1"/>
  <c r="C1884" i="1"/>
  <c r="E1884" i="1"/>
  <c r="F1884" i="1"/>
  <c r="H1884" i="1"/>
  <c r="I1884" i="1"/>
  <c r="J1884" i="1"/>
  <c r="L1884" i="1"/>
  <c r="M1884" i="1"/>
  <c r="V1884" i="1"/>
  <c r="AE1884" i="1"/>
  <c r="C1885" i="1"/>
  <c r="E1885" i="1"/>
  <c r="F1885" i="1"/>
  <c r="H1885" i="1"/>
  <c r="I1885" i="1"/>
  <c r="J1885" i="1"/>
  <c r="L1885" i="1"/>
  <c r="M1885" i="1"/>
  <c r="V1885" i="1"/>
  <c r="AE1885" i="1"/>
  <c r="C1886" i="1"/>
  <c r="E1886" i="1"/>
  <c r="F1886" i="1"/>
  <c r="H1886" i="1"/>
  <c r="I1886" i="1"/>
  <c r="J1886" i="1"/>
  <c r="L1886" i="1"/>
  <c r="M1886" i="1"/>
  <c r="V1886" i="1"/>
  <c r="AE1886" i="1"/>
  <c r="C1887" i="1"/>
  <c r="E1887" i="1"/>
  <c r="F1887" i="1"/>
  <c r="H1887" i="1"/>
  <c r="I1887" i="1"/>
  <c r="J1887" i="1"/>
  <c r="L1887" i="1"/>
  <c r="M1887" i="1"/>
  <c r="V1887" i="1"/>
  <c r="AE1887" i="1"/>
  <c r="C1888" i="1"/>
  <c r="E1888" i="1"/>
  <c r="F1888" i="1"/>
  <c r="H1888" i="1"/>
  <c r="I1888" i="1"/>
  <c r="J1888" i="1"/>
  <c r="L1888" i="1"/>
  <c r="M1888" i="1"/>
  <c r="V1888" i="1"/>
  <c r="AE1888" i="1"/>
  <c r="C1889" i="1"/>
  <c r="E1889" i="1"/>
  <c r="F1889" i="1"/>
  <c r="H1889" i="1"/>
  <c r="I1889" i="1"/>
  <c r="J1889" i="1"/>
  <c r="L1889" i="1"/>
  <c r="M1889" i="1"/>
  <c r="V1889" i="1"/>
  <c r="AE1889" i="1"/>
  <c r="C1890" i="1"/>
  <c r="E1890" i="1"/>
  <c r="F1890" i="1"/>
  <c r="H1890" i="1"/>
  <c r="I1890" i="1"/>
  <c r="J1890" i="1"/>
  <c r="L1890" i="1"/>
  <c r="M1890" i="1"/>
  <c r="V1890" i="1"/>
  <c r="AE1890" i="1"/>
  <c r="C1891" i="1"/>
  <c r="E1891" i="1"/>
  <c r="F1891" i="1"/>
  <c r="H1891" i="1"/>
  <c r="I1891" i="1"/>
  <c r="J1891" i="1"/>
  <c r="L1891" i="1"/>
  <c r="M1891" i="1"/>
  <c r="V1891" i="1"/>
  <c r="AE1891" i="1"/>
  <c r="C1892" i="1"/>
  <c r="E1892" i="1"/>
  <c r="F1892" i="1"/>
  <c r="H1892" i="1"/>
  <c r="I1892" i="1"/>
  <c r="J1892" i="1"/>
  <c r="L1892" i="1"/>
  <c r="M1892" i="1"/>
  <c r="V1892" i="1"/>
  <c r="AE1892" i="1"/>
  <c r="C1893" i="1"/>
  <c r="E1893" i="1"/>
  <c r="F1893" i="1"/>
  <c r="H1893" i="1"/>
  <c r="I1893" i="1"/>
  <c r="J1893" i="1"/>
  <c r="L1893" i="1"/>
  <c r="M1893" i="1"/>
  <c r="V1893" i="1"/>
  <c r="AE1893" i="1"/>
  <c r="C1894" i="1"/>
  <c r="E1894" i="1"/>
  <c r="F1894" i="1"/>
  <c r="H1894" i="1"/>
  <c r="I1894" i="1"/>
  <c r="J1894" i="1"/>
  <c r="L1894" i="1"/>
  <c r="M1894" i="1"/>
  <c r="V1894" i="1"/>
  <c r="AE1894" i="1"/>
  <c r="C1895" i="1"/>
  <c r="E1895" i="1"/>
  <c r="F1895" i="1"/>
  <c r="H1895" i="1"/>
  <c r="I1895" i="1"/>
  <c r="J1895" i="1"/>
  <c r="L1895" i="1"/>
  <c r="M1895" i="1"/>
  <c r="V1895" i="1"/>
  <c r="AE1895" i="1"/>
  <c r="C1896" i="1"/>
  <c r="E1896" i="1"/>
  <c r="F1896" i="1"/>
  <c r="H1896" i="1"/>
  <c r="I1896" i="1"/>
  <c r="J1896" i="1"/>
  <c r="L1896" i="1"/>
  <c r="M1896" i="1"/>
  <c r="V1896" i="1"/>
  <c r="AE1896" i="1"/>
  <c r="C1897" i="1"/>
  <c r="E1897" i="1"/>
  <c r="F1897" i="1"/>
  <c r="H1897" i="1"/>
  <c r="I1897" i="1"/>
  <c r="J1897" i="1"/>
  <c r="L1897" i="1"/>
  <c r="M1897" i="1"/>
  <c r="V1897" i="1"/>
  <c r="AE1897" i="1"/>
  <c r="C1898" i="1"/>
  <c r="E1898" i="1"/>
  <c r="F1898" i="1"/>
  <c r="H1898" i="1"/>
  <c r="I1898" i="1"/>
  <c r="J1898" i="1"/>
  <c r="L1898" i="1"/>
  <c r="M1898" i="1"/>
  <c r="V1898" i="1"/>
  <c r="AE1898" i="1"/>
  <c r="C1899" i="1"/>
  <c r="E1899" i="1"/>
  <c r="F1899" i="1"/>
  <c r="H1899" i="1"/>
  <c r="I1899" i="1"/>
  <c r="J1899" i="1"/>
  <c r="L1899" i="1"/>
  <c r="M1899" i="1"/>
  <c r="V1899" i="1"/>
  <c r="AE1899" i="1"/>
  <c r="C1900" i="1"/>
  <c r="E1900" i="1"/>
  <c r="F1900" i="1"/>
  <c r="H1900" i="1"/>
  <c r="I1900" i="1"/>
  <c r="J1900" i="1"/>
  <c r="L1900" i="1"/>
  <c r="M1900" i="1"/>
  <c r="V1900" i="1"/>
  <c r="AE1900" i="1"/>
  <c r="C1901" i="1"/>
  <c r="E1901" i="1"/>
  <c r="F1901" i="1"/>
  <c r="H1901" i="1"/>
  <c r="I1901" i="1"/>
  <c r="J1901" i="1"/>
  <c r="L1901" i="1"/>
  <c r="M1901" i="1"/>
  <c r="V1901" i="1"/>
  <c r="AE1901" i="1"/>
  <c r="C1902" i="1"/>
  <c r="E1902" i="1"/>
  <c r="F1902" i="1"/>
  <c r="H1902" i="1"/>
  <c r="I1902" i="1"/>
  <c r="J1902" i="1"/>
  <c r="L1902" i="1"/>
  <c r="M1902" i="1"/>
  <c r="V1902" i="1"/>
  <c r="AE1902" i="1"/>
  <c r="C1903" i="1"/>
  <c r="E1903" i="1"/>
  <c r="F1903" i="1"/>
  <c r="H1903" i="1"/>
  <c r="I1903" i="1"/>
  <c r="J1903" i="1"/>
  <c r="L1903" i="1"/>
  <c r="M1903" i="1"/>
  <c r="V1903" i="1"/>
  <c r="AE1903" i="1"/>
  <c r="C1904" i="1"/>
  <c r="E1904" i="1"/>
  <c r="F1904" i="1"/>
  <c r="H1904" i="1"/>
  <c r="I1904" i="1"/>
  <c r="J1904" i="1"/>
  <c r="L1904" i="1"/>
  <c r="M1904" i="1"/>
  <c r="V1904" i="1"/>
  <c r="AE1904" i="1"/>
  <c r="C1905" i="1"/>
  <c r="E1905" i="1"/>
  <c r="F1905" i="1"/>
  <c r="H1905" i="1"/>
  <c r="I1905" i="1"/>
  <c r="J1905" i="1"/>
  <c r="L1905" i="1"/>
  <c r="M1905" i="1"/>
  <c r="V1905" i="1"/>
  <c r="AE1905" i="1"/>
  <c r="C1906" i="1"/>
  <c r="E1906" i="1"/>
  <c r="F1906" i="1"/>
  <c r="H1906" i="1"/>
  <c r="I1906" i="1"/>
  <c r="J1906" i="1"/>
  <c r="L1906" i="1"/>
  <c r="M1906" i="1"/>
  <c r="V1906" i="1"/>
  <c r="AE1906" i="1"/>
  <c r="C1907" i="1"/>
  <c r="E1907" i="1"/>
  <c r="F1907" i="1"/>
  <c r="H1907" i="1"/>
  <c r="I1907" i="1"/>
  <c r="J1907" i="1"/>
  <c r="L1907" i="1"/>
  <c r="M1907" i="1"/>
  <c r="V1907" i="1"/>
  <c r="AE1907" i="1"/>
  <c r="C1908" i="1"/>
  <c r="E1908" i="1"/>
  <c r="F1908" i="1"/>
  <c r="H1908" i="1"/>
  <c r="I1908" i="1"/>
  <c r="J1908" i="1"/>
  <c r="L1908" i="1"/>
  <c r="M1908" i="1"/>
  <c r="V1908" i="1"/>
  <c r="AE1908" i="1"/>
  <c r="C1909" i="1"/>
  <c r="E1909" i="1"/>
  <c r="F1909" i="1"/>
  <c r="H1909" i="1"/>
  <c r="I1909" i="1"/>
  <c r="J1909" i="1"/>
  <c r="L1909" i="1"/>
  <c r="M1909" i="1"/>
  <c r="V1909" i="1"/>
  <c r="AE1909" i="1"/>
  <c r="C1910" i="1"/>
  <c r="E1910" i="1"/>
  <c r="F1910" i="1"/>
  <c r="H1910" i="1"/>
  <c r="I1910" i="1"/>
  <c r="J1910" i="1"/>
  <c r="L1910" i="1"/>
  <c r="M1910" i="1"/>
  <c r="V1910" i="1"/>
  <c r="AE1910" i="1"/>
  <c r="C1911" i="1"/>
  <c r="E1911" i="1"/>
  <c r="F1911" i="1"/>
  <c r="H1911" i="1"/>
  <c r="I1911" i="1"/>
  <c r="J1911" i="1"/>
  <c r="L1911" i="1"/>
  <c r="M1911" i="1"/>
  <c r="V1911" i="1"/>
  <c r="AE1911" i="1"/>
  <c r="C1912" i="1"/>
  <c r="E1912" i="1"/>
  <c r="F1912" i="1"/>
  <c r="H1912" i="1"/>
  <c r="I1912" i="1"/>
  <c r="J1912" i="1"/>
  <c r="L1912" i="1"/>
  <c r="M1912" i="1"/>
  <c r="V1912" i="1"/>
  <c r="AE1912" i="1"/>
  <c r="C1913" i="1"/>
  <c r="E1913" i="1"/>
  <c r="F1913" i="1"/>
  <c r="H1913" i="1"/>
  <c r="I1913" i="1"/>
  <c r="J1913" i="1"/>
  <c r="L1913" i="1"/>
  <c r="M1913" i="1"/>
  <c r="V1913" i="1"/>
  <c r="AE1913" i="1"/>
  <c r="C1914" i="1"/>
  <c r="E1914" i="1"/>
  <c r="F1914" i="1"/>
  <c r="H1914" i="1"/>
  <c r="I1914" i="1"/>
  <c r="J1914" i="1"/>
  <c r="L1914" i="1"/>
  <c r="M1914" i="1"/>
  <c r="V1914" i="1"/>
  <c r="AE1914" i="1"/>
  <c r="C1915" i="1"/>
  <c r="E1915" i="1"/>
  <c r="F1915" i="1"/>
  <c r="H1915" i="1"/>
  <c r="I1915" i="1"/>
  <c r="J1915" i="1"/>
  <c r="L1915" i="1"/>
  <c r="M1915" i="1"/>
  <c r="V1915" i="1"/>
  <c r="AE1915" i="1"/>
  <c r="C1916" i="1"/>
  <c r="E1916" i="1"/>
  <c r="F1916" i="1"/>
  <c r="H1916" i="1"/>
  <c r="I1916" i="1"/>
  <c r="J1916" i="1"/>
  <c r="L1916" i="1"/>
  <c r="M1916" i="1"/>
  <c r="V1916" i="1"/>
  <c r="AE1916" i="1"/>
  <c r="C1917" i="1"/>
  <c r="E1917" i="1"/>
  <c r="F1917" i="1"/>
  <c r="H1917" i="1"/>
  <c r="I1917" i="1"/>
  <c r="J1917" i="1"/>
  <c r="L1917" i="1"/>
  <c r="M1917" i="1"/>
  <c r="V1917" i="1"/>
  <c r="AE1917" i="1"/>
  <c r="C1918" i="1"/>
  <c r="E1918" i="1"/>
  <c r="F1918" i="1"/>
  <c r="H1918" i="1"/>
  <c r="I1918" i="1"/>
  <c r="J1918" i="1"/>
  <c r="L1918" i="1"/>
  <c r="M1918" i="1"/>
  <c r="V1918" i="1"/>
  <c r="AE1918" i="1"/>
  <c r="C1919" i="1"/>
  <c r="E1919" i="1"/>
  <c r="F1919" i="1"/>
  <c r="H1919" i="1"/>
  <c r="I1919" i="1"/>
  <c r="J1919" i="1"/>
  <c r="L1919" i="1"/>
  <c r="M1919" i="1"/>
  <c r="V1919" i="1"/>
  <c r="AE1919" i="1"/>
  <c r="C1920" i="1"/>
  <c r="E1920" i="1"/>
  <c r="F1920" i="1"/>
  <c r="H1920" i="1"/>
  <c r="I1920" i="1"/>
  <c r="J1920" i="1"/>
  <c r="L1920" i="1"/>
  <c r="M1920" i="1"/>
  <c r="V1920" i="1"/>
  <c r="AE1920" i="1"/>
  <c r="C1921" i="1"/>
  <c r="E1921" i="1"/>
  <c r="F1921" i="1"/>
  <c r="H1921" i="1"/>
  <c r="I1921" i="1"/>
  <c r="J1921" i="1"/>
  <c r="L1921" i="1"/>
  <c r="M1921" i="1"/>
  <c r="V1921" i="1"/>
  <c r="AE1921" i="1"/>
  <c r="C1922" i="1"/>
  <c r="E1922" i="1"/>
  <c r="F1922" i="1"/>
  <c r="H1922" i="1"/>
  <c r="I1922" i="1"/>
  <c r="J1922" i="1"/>
  <c r="L1922" i="1"/>
  <c r="M1922" i="1"/>
  <c r="V1922" i="1"/>
  <c r="AE1922" i="1"/>
  <c r="C1923" i="1"/>
  <c r="E1923" i="1"/>
  <c r="F1923" i="1"/>
  <c r="H1923" i="1"/>
  <c r="I1923" i="1"/>
  <c r="J1923" i="1"/>
  <c r="L1923" i="1"/>
  <c r="M1923" i="1"/>
  <c r="V1923" i="1"/>
  <c r="AE1923" i="1"/>
  <c r="C1924" i="1"/>
  <c r="E1924" i="1"/>
  <c r="F1924" i="1"/>
  <c r="H1924" i="1"/>
  <c r="I1924" i="1"/>
  <c r="J1924" i="1"/>
  <c r="L1924" i="1"/>
  <c r="M1924" i="1"/>
  <c r="V1924" i="1"/>
  <c r="AE1924" i="1"/>
  <c r="C1925" i="1"/>
  <c r="E1925" i="1"/>
  <c r="F1925" i="1"/>
  <c r="H1925" i="1"/>
  <c r="I1925" i="1"/>
  <c r="J1925" i="1"/>
  <c r="L1925" i="1"/>
  <c r="M1925" i="1"/>
  <c r="V1925" i="1"/>
  <c r="AE1925" i="1"/>
  <c r="C1926" i="1"/>
  <c r="E1926" i="1"/>
  <c r="F1926" i="1"/>
  <c r="H1926" i="1"/>
  <c r="I1926" i="1"/>
  <c r="J1926" i="1"/>
  <c r="L1926" i="1"/>
  <c r="M1926" i="1"/>
  <c r="V1926" i="1"/>
  <c r="AE1926" i="1"/>
  <c r="C1927" i="1"/>
  <c r="E1927" i="1"/>
  <c r="F1927" i="1"/>
  <c r="H1927" i="1"/>
  <c r="I1927" i="1"/>
  <c r="J1927" i="1"/>
  <c r="L1927" i="1"/>
  <c r="M1927" i="1"/>
  <c r="V1927" i="1"/>
  <c r="AE1927" i="1"/>
  <c r="C1928" i="1"/>
  <c r="E1928" i="1"/>
  <c r="F1928" i="1"/>
  <c r="H1928" i="1"/>
  <c r="I1928" i="1"/>
  <c r="J1928" i="1"/>
  <c r="L1928" i="1"/>
  <c r="M1928" i="1"/>
  <c r="V1928" i="1"/>
  <c r="AE1928" i="1"/>
  <c r="C1929" i="1"/>
  <c r="E1929" i="1"/>
  <c r="F1929" i="1"/>
  <c r="H1929" i="1"/>
  <c r="I1929" i="1"/>
  <c r="J1929" i="1"/>
  <c r="L1929" i="1"/>
  <c r="M1929" i="1"/>
  <c r="V1929" i="1"/>
  <c r="AE1929" i="1"/>
  <c r="C1930" i="1"/>
  <c r="E1930" i="1"/>
  <c r="F1930" i="1"/>
  <c r="H1930" i="1"/>
  <c r="I1930" i="1"/>
  <c r="J1930" i="1"/>
  <c r="L1930" i="1"/>
  <c r="M1930" i="1"/>
  <c r="V1930" i="1"/>
  <c r="AE1930" i="1"/>
  <c r="C1931" i="1"/>
  <c r="E1931" i="1"/>
  <c r="F1931" i="1"/>
  <c r="H1931" i="1"/>
  <c r="I1931" i="1"/>
  <c r="J1931" i="1"/>
  <c r="L1931" i="1"/>
  <c r="M1931" i="1"/>
  <c r="V1931" i="1"/>
  <c r="AE1931" i="1"/>
  <c r="C1932" i="1"/>
  <c r="E1932" i="1"/>
  <c r="F1932" i="1"/>
  <c r="H1932" i="1"/>
  <c r="I1932" i="1"/>
  <c r="J1932" i="1"/>
  <c r="L1932" i="1"/>
  <c r="M1932" i="1"/>
  <c r="V1932" i="1"/>
  <c r="AE1932" i="1"/>
  <c r="C1933" i="1"/>
  <c r="E1933" i="1"/>
  <c r="F1933" i="1"/>
  <c r="H1933" i="1"/>
  <c r="I1933" i="1"/>
  <c r="J1933" i="1"/>
  <c r="L1933" i="1"/>
  <c r="M1933" i="1"/>
  <c r="V1933" i="1"/>
  <c r="AE1933" i="1"/>
  <c r="C1934" i="1"/>
  <c r="E1934" i="1"/>
  <c r="F1934" i="1"/>
  <c r="H1934" i="1"/>
  <c r="I1934" i="1"/>
  <c r="J1934" i="1"/>
  <c r="L1934" i="1"/>
  <c r="M1934" i="1"/>
  <c r="V1934" i="1"/>
  <c r="AE1934" i="1"/>
  <c r="C1935" i="1"/>
  <c r="E1935" i="1"/>
  <c r="F1935" i="1"/>
  <c r="H1935" i="1"/>
  <c r="I1935" i="1"/>
  <c r="J1935" i="1"/>
  <c r="L1935" i="1"/>
  <c r="M1935" i="1"/>
  <c r="V1935" i="1"/>
  <c r="AE1935" i="1"/>
  <c r="C1936" i="1"/>
  <c r="E1936" i="1"/>
  <c r="F1936" i="1"/>
  <c r="H1936" i="1"/>
  <c r="I1936" i="1"/>
  <c r="J1936" i="1"/>
  <c r="L1936" i="1"/>
  <c r="M1936" i="1"/>
  <c r="V1936" i="1"/>
  <c r="AE1936" i="1"/>
  <c r="C1937" i="1"/>
  <c r="E1937" i="1"/>
  <c r="F1937" i="1"/>
  <c r="H1937" i="1"/>
  <c r="I1937" i="1"/>
  <c r="J1937" i="1"/>
  <c r="L1937" i="1"/>
  <c r="M1937" i="1"/>
  <c r="V1937" i="1"/>
  <c r="AE1937" i="1"/>
  <c r="C1938" i="1"/>
  <c r="E1938" i="1"/>
  <c r="F1938" i="1"/>
  <c r="H1938" i="1"/>
  <c r="I1938" i="1"/>
  <c r="J1938" i="1"/>
  <c r="L1938" i="1"/>
  <c r="M1938" i="1"/>
  <c r="V1938" i="1"/>
  <c r="AE1938" i="1"/>
  <c r="C1939" i="1"/>
  <c r="E1939" i="1"/>
  <c r="F1939" i="1"/>
  <c r="H1939" i="1"/>
  <c r="I1939" i="1"/>
  <c r="J1939" i="1"/>
  <c r="L1939" i="1"/>
  <c r="M1939" i="1"/>
  <c r="V1939" i="1"/>
  <c r="AE1939" i="1"/>
  <c r="C1940" i="1"/>
  <c r="E1940" i="1"/>
  <c r="F1940" i="1"/>
  <c r="H1940" i="1"/>
  <c r="I1940" i="1"/>
  <c r="J1940" i="1"/>
  <c r="L1940" i="1"/>
  <c r="M1940" i="1"/>
  <c r="V1940" i="1"/>
  <c r="AE1940" i="1"/>
  <c r="C1941" i="1"/>
  <c r="E1941" i="1"/>
  <c r="F1941" i="1"/>
  <c r="H1941" i="1"/>
  <c r="I1941" i="1"/>
  <c r="J1941" i="1"/>
  <c r="L1941" i="1"/>
  <c r="M1941" i="1"/>
  <c r="V1941" i="1"/>
  <c r="AE1941" i="1"/>
  <c r="C1942" i="1"/>
  <c r="E1942" i="1"/>
  <c r="F1942" i="1"/>
  <c r="H1942" i="1"/>
  <c r="I1942" i="1"/>
  <c r="J1942" i="1"/>
  <c r="L1942" i="1"/>
  <c r="M1942" i="1"/>
  <c r="V1942" i="1"/>
  <c r="AE1942" i="1"/>
  <c r="C1943" i="1"/>
  <c r="E1943" i="1"/>
  <c r="F1943" i="1"/>
  <c r="H1943" i="1"/>
  <c r="I1943" i="1"/>
  <c r="J1943" i="1"/>
  <c r="L1943" i="1"/>
  <c r="M1943" i="1"/>
  <c r="V1943" i="1"/>
  <c r="AE1943" i="1"/>
  <c r="C1944" i="1"/>
  <c r="E1944" i="1"/>
  <c r="F1944" i="1"/>
  <c r="H1944" i="1"/>
  <c r="I1944" i="1"/>
  <c r="J1944" i="1"/>
  <c r="L1944" i="1"/>
  <c r="M1944" i="1"/>
  <c r="V1944" i="1"/>
  <c r="AE1944" i="1"/>
  <c r="C1945" i="1"/>
  <c r="E1945" i="1"/>
  <c r="F1945" i="1"/>
  <c r="H1945" i="1"/>
  <c r="I1945" i="1"/>
  <c r="J1945" i="1"/>
  <c r="L1945" i="1"/>
  <c r="M1945" i="1"/>
  <c r="V1945" i="1"/>
  <c r="AE1945" i="1"/>
  <c r="C1946" i="1"/>
  <c r="E1946" i="1"/>
  <c r="F1946" i="1"/>
  <c r="H1946" i="1"/>
  <c r="I1946" i="1"/>
  <c r="J1946" i="1"/>
  <c r="L1946" i="1"/>
  <c r="M1946" i="1"/>
  <c r="V1946" i="1"/>
  <c r="AE1946" i="1"/>
  <c r="C1947" i="1"/>
  <c r="E1947" i="1"/>
  <c r="F1947" i="1"/>
  <c r="H1947" i="1"/>
  <c r="I1947" i="1"/>
  <c r="J1947" i="1"/>
  <c r="L1947" i="1"/>
  <c r="M1947" i="1"/>
  <c r="V1947" i="1"/>
  <c r="AE1947" i="1"/>
  <c r="C1948" i="1"/>
  <c r="E1948" i="1"/>
  <c r="F1948" i="1"/>
  <c r="H1948" i="1"/>
  <c r="I1948" i="1"/>
  <c r="J1948" i="1"/>
  <c r="L1948" i="1"/>
  <c r="M1948" i="1"/>
  <c r="V1948" i="1"/>
  <c r="AE1948" i="1"/>
  <c r="C1949" i="1"/>
  <c r="E1949" i="1"/>
  <c r="F1949" i="1"/>
  <c r="H1949" i="1"/>
  <c r="I1949" i="1"/>
  <c r="J1949" i="1"/>
  <c r="L1949" i="1"/>
  <c r="M1949" i="1"/>
  <c r="V1949" i="1"/>
  <c r="AE1949" i="1"/>
  <c r="C1950" i="1"/>
  <c r="E1950" i="1"/>
  <c r="F1950" i="1"/>
  <c r="H1950" i="1"/>
  <c r="I1950" i="1"/>
  <c r="J1950" i="1"/>
  <c r="L1950" i="1"/>
  <c r="M1950" i="1"/>
  <c r="V1950" i="1"/>
  <c r="AE1950" i="1"/>
  <c r="C1951" i="1"/>
  <c r="E1951" i="1"/>
  <c r="F1951" i="1"/>
  <c r="H1951" i="1"/>
  <c r="I1951" i="1"/>
  <c r="J1951" i="1"/>
  <c r="L1951" i="1"/>
  <c r="M1951" i="1"/>
  <c r="V1951" i="1"/>
  <c r="AE1951" i="1"/>
  <c r="C1952" i="1"/>
  <c r="E1952" i="1"/>
  <c r="F1952" i="1"/>
  <c r="H1952" i="1"/>
  <c r="I1952" i="1"/>
  <c r="J1952" i="1"/>
  <c r="L1952" i="1"/>
  <c r="M1952" i="1"/>
  <c r="V1952" i="1"/>
  <c r="AE1952" i="1"/>
  <c r="C1953" i="1"/>
  <c r="E1953" i="1"/>
  <c r="F1953" i="1"/>
  <c r="H1953" i="1"/>
  <c r="I1953" i="1"/>
  <c r="J1953" i="1"/>
  <c r="L1953" i="1"/>
  <c r="M1953" i="1"/>
  <c r="V1953" i="1"/>
  <c r="AE1953" i="1"/>
  <c r="C1954" i="1"/>
  <c r="E1954" i="1"/>
  <c r="F1954" i="1"/>
  <c r="H1954" i="1"/>
  <c r="I1954" i="1"/>
  <c r="J1954" i="1"/>
  <c r="L1954" i="1"/>
  <c r="M1954" i="1"/>
  <c r="V1954" i="1"/>
  <c r="AE1954" i="1"/>
  <c r="C1955" i="1"/>
  <c r="E1955" i="1"/>
  <c r="F1955" i="1"/>
  <c r="H1955" i="1"/>
  <c r="I1955" i="1"/>
  <c r="J1955" i="1"/>
  <c r="L1955" i="1"/>
  <c r="M1955" i="1"/>
  <c r="V1955" i="1"/>
  <c r="AE1955" i="1"/>
  <c r="C1956" i="1"/>
  <c r="E1956" i="1"/>
  <c r="F1956" i="1"/>
  <c r="H1956" i="1"/>
  <c r="I1956" i="1"/>
  <c r="J1956" i="1"/>
  <c r="L1956" i="1"/>
  <c r="M1956" i="1"/>
  <c r="V1956" i="1"/>
  <c r="AE1956" i="1"/>
  <c r="C1957" i="1"/>
  <c r="E1957" i="1"/>
  <c r="F1957" i="1"/>
  <c r="H1957" i="1"/>
  <c r="I1957" i="1"/>
  <c r="J1957" i="1"/>
  <c r="L1957" i="1"/>
  <c r="M1957" i="1"/>
  <c r="V1957" i="1"/>
  <c r="AE1957" i="1"/>
  <c r="C1958" i="1"/>
  <c r="E1958" i="1"/>
  <c r="F1958" i="1"/>
  <c r="H1958" i="1"/>
  <c r="I1958" i="1"/>
  <c r="J1958" i="1"/>
  <c r="L1958" i="1"/>
  <c r="M1958" i="1"/>
  <c r="V1958" i="1"/>
  <c r="AE1958" i="1"/>
  <c r="C1959" i="1"/>
  <c r="E1959" i="1"/>
  <c r="F1959" i="1"/>
  <c r="H1959" i="1"/>
  <c r="I1959" i="1"/>
  <c r="J1959" i="1"/>
  <c r="L1959" i="1"/>
  <c r="M1959" i="1"/>
  <c r="V1959" i="1"/>
  <c r="AE1959" i="1"/>
  <c r="C1960" i="1"/>
  <c r="E1960" i="1"/>
  <c r="F1960" i="1"/>
  <c r="H1960" i="1"/>
  <c r="I1960" i="1"/>
  <c r="J1960" i="1"/>
  <c r="L1960" i="1"/>
  <c r="M1960" i="1"/>
  <c r="V1960" i="1"/>
  <c r="AE1960" i="1"/>
  <c r="C1961" i="1"/>
  <c r="E1961" i="1"/>
  <c r="F1961" i="1"/>
  <c r="H1961" i="1"/>
  <c r="I1961" i="1"/>
  <c r="J1961" i="1"/>
  <c r="L1961" i="1"/>
  <c r="M1961" i="1"/>
  <c r="V1961" i="1"/>
  <c r="AE1961" i="1"/>
  <c r="C1962" i="1"/>
  <c r="E1962" i="1"/>
  <c r="F1962" i="1"/>
  <c r="H1962" i="1"/>
  <c r="I1962" i="1"/>
  <c r="J1962" i="1"/>
  <c r="L1962" i="1"/>
  <c r="M1962" i="1"/>
  <c r="V1962" i="1"/>
  <c r="AE1962" i="1"/>
  <c r="C1963" i="1"/>
  <c r="E1963" i="1"/>
  <c r="F1963" i="1"/>
  <c r="H1963" i="1"/>
  <c r="I1963" i="1"/>
  <c r="J1963" i="1"/>
  <c r="L1963" i="1"/>
  <c r="M1963" i="1"/>
  <c r="V1963" i="1"/>
  <c r="AE1963" i="1"/>
  <c r="C1964" i="1"/>
  <c r="E1964" i="1"/>
  <c r="F1964" i="1"/>
  <c r="H1964" i="1"/>
  <c r="I1964" i="1"/>
  <c r="J1964" i="1"/>
  <c r="L1964" i="1"/>
  <c r="M1964" i="1"/>
  <c r="V1964" i="1"/>
  <c r="AE1964" i="1"/>
  <c r="C1965" i="1"/>
  <c r="E1965" i="1"/>
  <c r="F1965" i="1"/>
  <c r="H1965" i="1"/>
  <c r="I1965" i="1"/>
  <c r="J1965" i="1"/>
  <c r="L1965" i="1"/>
  <c r="M1965" i="1"/>
  <c r="V1965" i="1"/>
  <c r="AE1965" i="1"/>
  <c r="C1966" i="1"/>
  <c r="E1966" i="1"/>
  <c r="F1966" i="1"/>
  <c r="H1966" i="1"/>
  <c r="I1966" i="1"/>
  <c r="J1966" i="1"/>
  <c r="L1966" i="1"/>
  <c r="M1966" i="1"/>
  <c r="V1966" i="1"/>
  <c r="AE1966" i="1"/>
  <c r="C1967" i="1"/>
  <c r="E1967" i="1"/>
  <c r="F1967" i="1"/>
  <c r="H1967" i="1"/>
  <c r="I1967" i="1"/>
  <c r="J1967" i="1"/>
  <c r="L1967" i="1"/>
  <c r="M1967" i="1"/>
  <c r="V1967" i="1"/>
  <c r="AE1967" i="1"/>
  <c r="C1968" i="1"/>
  <c r="E1968" i="1"/>
  <c r="F1968" i="1"/>
  <c r="H1968" i="1"/>
  <c r="I1968" i="1"/>
  <c r="J1968" i="1"/>
  <c r="L1968" i="1"/>
  <c r="M1968" i="1"/>
  <c r="V1968" i="1"/>
  <c r="AE1968" i="1"/>
  <c r="C1969" i="1"/>
  <c r="E1969" i="1"/>
  <c r="F1969" i="1"/>
  <c r="H1969" i="1"/>
  <c r="I1969" i="1"/>
  <c r="J1969" i="1"/>
  <c r="L1969" i="1"/>
  <c r="M1969" i="1"/>
  <c r="V1969" i="1"/>
  <c r="AE1969" i="1"/>
  <c r="C1970" i="1"/>
  <c r="E1970" i="1"/>
  <c r="F1970" i="1"/>
  <c r="H1970" i="1"/>
  <c r="I1970" i="1"/>
  <c r="J1970" i="1"/>
  <c r="L1970" i="1"/>
  <c r="M1970" i="1"/>
  <c r="V1970" i="1"/>
  <c r="AE1970" i="1"/>
  <c r="C1971" i="1"/>
  <c r="E1971" i="1"/>
  <c r="F1971" i="1"/>
  <c r="H1971" i="1"/>
  <c r="I1971" i="1"/>
  <c r="J1971" i="1"/>
  <c r="L1971" i="1"/>
  <c r="M1971" i="1"/>
  <c r="V1971" i="1"/>
  <c r="AE1971" i="1"/>
  <c r="C1972" i="1"/>
  <c r="E1972" i="1"/>
  <c r="F1972" i="1"/>
  <c r="H1972" i="1"/>
  <c r="I1972" i="1"/>
  <c r="J1972" i="1"/>
  <c r="L1972" i="1"/>
  <c r="M1972" i="1"/>
  <c r="V1972" i="1"/>
  <c r="AE1972" i="1"/>
  <c r="C1973" i="1"/>
  <c r="E1973" i="1"/>
  <c r="F1973" i="1"/>
  <c r="H1973" i="1"/>
  <c r="I1973" i="1"/>
  <c r="J1973" i="1"/>
  <c r="L1973" i="1"/>
  <c r="M1973" i="1"/>
  <c r="V1973" i="1"/>
  <c r="AE1973" i="1"/>
  <c r="C1974" i="1"/>
  <c r="E1974" i="1"/>
  <c r="F1974" i="1"/>
  <c r="H1974" i="1"/>
  <c r="I1974" i="1"/>
  <c r="J1974" i="1"/>
  <c r="L1974" i="1"/>
  <c r="M1974" i="1"/>
  <c r="V1974" i="1"/>
  <c r="AE1974" i="1"/>
  <c r="C1975" i="1"/>
  <c r="E1975" i="1"/>
  <c r="F1975" i="1"/>
  <c r="H1975" i="1"/>
  <c r="I1975" i="1"/>
  <c r="J1975" i="1"/>
  <c r="L1975" i="1"/>
  <c r="M1975" i="1"/>
  <c r="V1975" i="1"/>
  <c r="AE1975" i="1"/>
  <c r="C1976" i="1"/>
  <c r="E1976" i="1"/>
  <c r="F1976" i="1"/>
  <c r="H1976" i="1"/>
  <c r="I1976" i="1"/>
  <c r="J1976" i="1"/>
  <c r="L1976" i="1"/>
  <c r="M1976" i="1"/>
  <c r="V1976" i="1"/>
  <c r="AE1976" i="1"/>
  <c r="C1977" i="1"/>
  <c r="E1977" i="1"/>
  <c r="F1977" i="1"/>
  <c r="H1977" i="1"/>
  <c r="I1977" i="1"/>
  <c r="J1977" i="1"/>
  <c r="L1977" i="1"/>
  <c r="M1977" i="1"/>
  <c r="V1977" i="1"/>
  <c r="AE1977" i="1"/>
  <c r="C1978" i="1"/>
  <c r="E1978" i="1"/>
  <c r="F1978" i="1"/>
  <c r="H1978" i="1"/>
  <c r="I1978" i="1"/>
  <c r="J1978" i="1"/>
  <c r="L1978" i="1"/>
  <c r="M1978" i="1"/>
  <c r="V1978" i="1"/>
  <c r="AE1978" i="1"/>
  <c r="C1979" i="1"/>
  <c r="E1979" i="1"/>
  <c r="F1979" i="1"/>
  <c r="H1979" i="1"/>
  <c r="I1979" i="1"/>
  <c r="J1979" i="1"/>
  <c r="L1979" i="1"/>
  <c r="M1979" i="1"/>
  <c r="V1979" i="1"/>
  <c r="AE1979" i="1"/>
  <c r="C1980" i="1"/>
  <c r="E1980" i="1"/>
  <c r="F1980" i="1"/>
  <c r="H1980" i="1"/>
  <c r="I1980" i="1"/>
  <c r="J1980" i="1"/>
  <c r="L1980" i="1"/>
  <c r="M1980" i="1"/>
  <c r="V1980" i="1"/>
  <c r="AE1980" i="1"/>
  <c r="C1981" i="1"/>
  <c r="E1981" i="1"/>
  <c r="F1981" i="1"/>
  <c r="H1981" i="1"/>
  <c r="I1981" i="1"/>
  <c r="J1981" i="1"/>
  <c r="L1981" i="1"/>
  <c r="M1981" i="1"/>
  <c r="V1981" i="1"/>
  <c r="AE1981" i="1"/>
  <c r="C1982" i="1"/>
  <c r="E1982" i="1"/>
  <c r="F1982" i="1"/>
  <c r="H1982" i="1"/>
  <c r="I1982" i="1"/>
  <c r="J1982" i="1"/>
  <c r="L1982" i="1"/>
  <c r="M1982" i="1"/>
  <c r="V1982" i="1"/>
  <c r="AE1982" i="1"/>
  <c r="C1983" i="1"/>
  <c r="E1983" i="1"/>
  <c r="F1983" i="1"/>
  <c r="H1983" i="1"/>
  <c r="I1983" i="1"/>
  <c r="J1983" i="1"/>
  <c r="L1983" i="1"/>
  <c r="M1983" i="1"/>
  <c r="V1983" i="1"/>
  <c r="AE1983" i="1"/>
  <c r="C1984" i="1"/>
  <c r="E1984" i="1"/>
  <c r="F1984" i="1"/>
  <c r="H1984" i="1"/>
  <c r="I1984" i="1"/>
  <c r="J1984" i="1"/>
  <c r="L1984" i="1"/>
  <c r="M1984" i="1"/>
  <c r="V1984" i="1"/>
  <c r="AE1984" i="1"/>
  <c r="C1985" i="1"/>
  <c r="E1985" i="1"/>
  <c r="F1985" i="1"/>
  <c r="H1985" i="1"/>
  <c r="I1985" i="1"/>
  <c r="J1985" i="1"/>
  <c r="L1985" i="1"/>
  <c r="M1985" i="1"/>
  <c r="V1985" i="1"/>
  <c r="AE1985" i="1"/>
  <c r="C1986" i="1"/>
  <c r="E1986" i="1"/>
  <c r="F1986" i="1"/>
  <c r="H1986" i="1"/>
  <c r="I1986" i="1"/>
  <c r="J1986" i="1"/>
  <c r="L1986" i="1"/>
  <c r="M1986" i="1"/>
  <c r="V1986" i="1"/>
  <c r="AE1986" i="1"/>
  <c r="C1987" i="1"/>
  <c r="E1987" i="1"/>
  <c r="F1987" i="1"/>
  <c r="H1987" i="1"/>
  <c r="I1987" i="1"/>
  <c r="J1987" i="1"/>
  <c r="L1987" i="1"/>
  <c r="M1987" i="1"/>
  <c r="V1987" i="1"/>
  <c r="AE1987" i="1"/>
  <c r="C1988" i="1"/>
  <c r="E1988" i="1"/>
  <c r="F1988" i="1"/>
  <c r="H1988" i="1"/>
  <c r="I1988" i="1"/>
  <c r="J1988" i="1"/>
  <c r="L1988" i="1"/>
  <c r="M1988" i="1"/>
  <c r="V1988" i="1"/>
  <c r="AE1988" i="1"/>
  <c r="C1989" i="1"/>
  <c r="E1989" i="1"/>
  <c r="F1989" i="1"/>
  <c r="H1989" i="1"/>
  <c r="I1989" i="1"/>
  <c r="J1989" i="1"/>
  <c r="L1989" i="1"/>
  <c r="M1989" i="1"/>
  <c r="V1989" i="1"/>
  <c r="AE1989" i="1"/>
  <c r="C1990" i="1"/>
  <c r="E1990" i="1"/>
  <c r="F1990" i="1"/>
  <c r="H1990" i="1"/>
  <c r="I1990" i="1"/>
  <c r="J1990" i="1"/>
  <c r="L1990" i="1"/>
  <c r="M1990" i="1"/>
  <c r="V1990" i="1"/>
  <c r="AE1990" i="1"/>
  <c r="C1991" i="1"/>
  <c r="E1991" i="1"/>
  <c r="F1991" i="1"/>
  <c r="H1991" i="1"/>
  <c r="I1991" i="1"/>
  <c r="J1991" i="1"/>
  <c r="L1991" i="1"/>
  <c r="M1991" i="1"/>
  <c r="V1991" i="1"/>
  <c r="AE1991" i="1"/>
  <c r="C1992" i="1"/>
  <c r="E1992" i="1"/>
  <c r="F1992" i="1"/>
  <c r="H1992" i="1"/>
  <c r="I1992" i="1"/>
  <c r="J1992" i="1"/>
  <c r="L1992" i="1"/>
  <c r="M1992" i="1"/>
  <c r="V1992" i="1"/>
  <c r="AE1992" i="1"/>
  <c r="C1993" i="1"/>
  <c r="E1993" i="1"/>
  <c r="F1993" i="1"/>
  <c r="H1993" i="1"/>
  <c r="I1993" i="1"/>
  <c r="J1993" i="1"/>
  <c r="L1993" i="1"/>
  <c r="M1993" i="1"/>
  <c r="V1993" i="1"/>
  <c r="AE1993" i="1"/>
  <c r="C1994" i="1"/>
  <c r="E1994" i="1"/>
  <c r="F1994" i="1"/>
  <c r="H1994" i="1"/>
  <c r="I1994" i="1"/>
  <c r="J1994" i="1"/>
  <c r="L1994" i="1"/>
  <c r="M1994" i="1"/>
  <c r="V1994" i="1"/>
  <c r="AE1994" i="1"/>
  <c r="C1995" i="1"/>
  <c r="E1995" i="1"/>
  <c r="F1995" i="1"/>
  <c r="H1995" i="1"/>
  <c r="I1995" i="1"/>
  <c r="J1995" i="1"/>
  <c r="L1995" i="1"/>
  <c r="M1995" i="1"/>
  <c r="V1995" i="1"/>
  <c r="AE1995" i="1"/>
  <c r="C1996" i="1"/>
  <c r="E1996" i="1"/>
  <c r="F1996" i="1"/>
  <c r="H1996" i="1"/>
  <c r="I1996" i="1"/>
  <c r="J1996" i="1"/>
  <c r="L1996" i="1"/>
  <c r="M1996" i="1"/>
  <c r="V1996" i="1"/>
  <c r="AE1996" i="1"/>
  <c r="C1997" i="1"/>
  <c r="E1997" i="1"/>
  <c r="F1997" i="1"/>
  <c r="H1997" i="1"/>
  <c r="I1997" i="1"/>
  <c r="J1997" i="1"/>
  <c r="L1997" i="1"/>
  <c r="M1997" i="1"/>
  <c r="V1997" i="1"/>
  <c r="AE1997" i="1"/>
  <c r="C1998" i="1"/>
  <c r="E1998" i="1"/>
  <c r="F1998" i="1"/>
  <c r="H1998" i="1"/>
  <c r="I1998" i="1"/>
  <c r="J1998" i="1"/>
  <c r="L1998" i="1"/>
  <c r="M1998" i="1"/>
  <c r="V1998" i="1"/>
  <c r="AE1998" i="1"/>
  <c r="C1999" i="1"/>
  <c r="E1999" i="1"/>
  <c r="F1999" i="1"/>
  <c r="H1999" i="1"/>
  <c r="I1999" i="1"/>
  <c r="J1999" i="1"/>
  <c r="L1999" i="1"/>
  <c r="M1999" i="1"/>
  <c r="V1999" i="1"/>
  <c r="AE1999" i="1"/>
  <c r="C2000" i="1"/>
  <c r="E2000" i="1"/>
  <c r="F2000" i="1"/>
  <c r="H2000" i="1"/>
  <c r="I2000" i="1"/>
  <c r="J2000" i="1"/>
  <c r="L2000" i="1"/>
  <c r="M2000" i="1"/>
  <c r="V2000" i="1"/>
  <c r="AE2000" i="1"/>
  <c r="C2001" i="1"/>
  <c r="E2001" i="1"/>
  <c r="F2001" i="1"/>
  <c r="H2001" i="1"/>
  <c r="I2001" i="1"/>
  <c r="J2001" i="1"/>
  <c r="L2001" i="1"/>
  <c r="M2001" i="1"/>
  <c r="V2001" i="1"/>
  <c r="AE2001" i="1"/>
  <c r="C2002" i="1"/>
  <c r="E2002" i="1"/>
  <c r="F2002" i="1"/>
  <c r="H2002" i="1"/>
  <c r="I2002" i="1"/>
  <c r="J2002" i="1"/>
  <c r="L2002" i="1"/>
  <c r="M2002" i="1"/>
  <c r="V2002" i="1"/>
  <c r="AE2002" i="1"/>
  <c r="C2003" i="1"/>
  <c r="E2003" i="1"/>
  <c r="F2003" i="1"/>
  <c r="H2003" i="1"/>
  <c r="I2003" i="1"/>
  <c r="J2003" i="1"/>
  <c r="L2003" i="1"/>
  <c r="M2003" i="1"/>
  <c r="V2003" i="1"/>
  <c r="AE2003" i="1"/>
  <c r="C2004" i="1"/>
  <c r="E2004" i="1"/>
  <c r="F2004" i="1"/>
  <c r="H2004" i="1"/>
  <c r="I2004" i="1"/>
  <c r="J2004" i="1"/>
  <c r="L2004" i="1"/>
  <c r="M2004" i="1"/>
  <c r="V2004" i="1"/>
  <c r="AE2004" i="1"/>
  <c r="C2005" i="1"/>
  <c r="E2005" i="1"/>
  <c r="F2005" i="1"/>
  <c r="H2005" i="1"/>
  <c r="I2005" i="1"/>
  <c r="J2005" i="1"/>
  <c r="L2005" i="1"/>
  <c r="M2005" i="1"/>
  <c r="V2005" i="1"/>
  <c r="AE2005" i="1"/>
  <c r="C2006" i="1"/>
  <c r="E2006" i="1"/>
  <c r="F2006" i="1"/>
  <c r="H2006" i="1"/>
  <c r="I2006" i="1"/>
  <c r="J2006" i="1"/>
  <c r="L2006" i="1"/>
  <c r="M2006" i="1"/>
  <c r="V2006" i="1"/>
  <c r="AE2006" i="1"/>
  <c r="C2007" i="1"/>
  <c r="E2007" i="1"/>
  <c r="F2007" i="1"/>
  <c r="H2007" i="1"/>
  <c r="I2007" i="1"/>
  <c r="J2007" i="1"/>
  <c r="L2007" i="1"/>
  <c r="M2007" i="1"/>
  <c r="V2007" i="1"/>
  <c r="AE2007" i="1"/>
  <c r="C2008" i="1"/>
  <c r="E2008" i="1"/>
  <c r="F2008" i="1"/>
  <c r="H2008" i="1"/>
  <c r="I2008" i="1"/>
  <c r="J2008" i="1"/>
  <c r="L2008" i="1"/>
  <c r="M2008" i="1"/>
  <c r="V2008" i="1"/>
  <c r="AE2008" i="1"/>
  <c r="C2009" i="1"/>
  <c r="E2009" i="1"/>
  <c r="F2009" i="1"/>
  <c r="H2009" i="1"/>
  <c r="I2009" i="1"/>
  <c r="J2009" i="1"/>
  <c r="L2009" i="1"/>
  <c r="M2009" i="1"/>
  <c r="V2009" i="1"/>
  <c r="AE2009" i="1"/>
  <c r="C2010" i="1"/>
  <c r="E2010" i="1"/>
  <c r="F2010" i="1"/>
  <c r="H2010" i="1"/>
  <c r="I2010" i="1"/>
  <c r="J2010" i="1"/>
  <c r="L2010" i="1"/>
  <c r="M2010" i="1"/>
  <c r="V2010" i="1"/>
  <c r="AE2010" i="1"/>
  <c r="C2011" i="1"/>
  <c r="E2011" i="1"/>
  <c r="F2011" i="1"/>
  <c r="H2011" i="1"/>
  <c r="I2011" i="1"/>
  <c r="J2011" i="1"/>
  <c r="L2011" i="1"/>
  <c r="M2011" i="1"/>
  <c r="V2011" i="1"/>
  <c r="AE2011" i="1"/>
  <c r="C2012" i="1"/>
  <c r="E2012" i="1"/>
  <c r="F2012" i="1"/>
  <c r="H2012" i="1"/>
  <c r="I2012" i="1"/>
  <c r="J2012" i="1"/>
  <c r="L2012" i="1"/>
  <c r="M2012" i="1"/>
  <c r="V2012" i="1"/>
  <c r="AE2012" i="1"/>
  <c r="C2013" i="1"/>
  <c r="E2013" i="1"/>
  <c r="F2013" i="1"/>
  <c r="H2013" i="1"/>
  <c r="I2013" i="1"/>
  <c r="J2013" i="1"/>
  <c r="L2013" i="1"/>
  <c r="M2013" i="1"/>
  <c r="V2013" i="1"/>
  <c r="AE2013" i="1"/>
  <c r="C2014" i="1"/>
  <c r="E2014" i="1"/>
  <c r="F2014" i="1"/>
  <c r="H2014" i="1"/>
  <c r="I2014" i="1"/>
  <c r="J2014" i="1"/>
  <c r="L2014" i="1"/>
  <c r="M2014" i="1"/>
  <c r="V2014" i="1"/>
  <c r="AE2014" i="1"/>
  <c r="C2015" i="1"/>
  <c r="E2015" i="1"/>
  <c r="F2015" i="1"/>
  <c r="H2015" i="1"/>
  <c r="I2015" i="1"/>
  <c r="J2015" i="1"/>
  <c r="L2015" i="1"/>
  <c r="M2015" i="1"/>
  <c r="V2015" i="1"/>
  <c r="AE2015" i="1"/>
  <c r="C2016" i="1"/>
  <c r="E2016" i="1"/>
  <c r="F2016" i="1"/>
  <c r="H2016" i="1"/>
  <c r="I2016" i="1"/>
  <c r="J2016" i="1"/>
  <c r="L2016" i="1"/>
  <c r="M2016" i="1"/>
  <c r="V2016" i="1"/>
  <c r="AE2016" i="1"/>
  <c r="C2017" i="1"/>
  <c r="E2017" i="1"/>
  <c r="F2017" i="1"/>
  <c r="H2017" i="1"/>
  <c r="I2017" i="1"/>
  <c r="J2017" i="1"/>
  <c r="L2017" i="1"/>
  <c r="M2017" i="1"/>
  <c r="V2017" i="1"/>
  <c r="AE2017" i="1"/>
  <c r="C2018" i="1"/>
  <c r="E2018" i="1"/>
  <c r="F2018" i="1"/>
  <c r="H2018" i="1"/>
  <c r="I2018" i="1"/>
  <c r="J2018" i="1"/>
  <c r="L2018" i="1"/>
  <c r="M2018" i="1"/>
  <c r="V2018" i="1"/>
  <c r="AE2018" i="1"/>
  <c r="C2019" i="1"/>
  <c r="E2019" i="1"/>
  <c r="F2019" i="1"/>
  <c r="H2019" i="1"/>
  <c r="I2019" i="1"/>
  <c r="J2019" i="1"/>
  <c r="L2019" i="1"/>
  <c r="M2019" i="1"/>
  <c r="V2019" i="1"/>
  <c r="AE2019" i="1"/>
  <c r="C2020" i="1"/>
  <c r="E2020" i="1"/>
  <c r="F2020" i="1"/>
  <c r="H2020" i="1"/>
  <c r="I2020" i="1"/>
  <c r="J2020" i="1"/>
  <c r="L2020" i="1"/>
  <c r="M2020" i="1"/>
  <c r="V2020" i="1"/>
  <c r="AE2020" i="1"/>
  <c r="C2021" i="1"/>
  <c r="E2021" i="1"/>
  <c r="F2021" i="1"/>
  <c r="H2021" i="1"/>
  <c r="I2021" i="1"/>
  <c r="J2021" i="1"/>
  <c r="L2021" i="1"/>
  <c r="M2021" i="1"/>
  <c r="V2021" i="1"/>
  <c r="AE2021" i="1"/>
  <c r="C2022" i="1"/>
  <c r="E2022" i="1"/>
  <c r="F2022" i="1"/>
  <c r="H2022" i="1"/>
  <c r="I2022" i="1"/>
  <c r="J2022" i="1"/>
  <c r="L2022" i="1"/>
  <c r="M2022" i="1"/>
  <c r="V2022" i="1"/>
  <c r="AE2022" i="1"/>
  <c r="C2023" i="1"/>
  <c r="E2023" i="1"/>
  <c r="F2023" i="1"/>
  <c r="H2023" i="1"/>
  <c r="I2023" i="1"/>
  <c r="J2023" i="1"/>
  <c r="L2023" i="1"/>
  <c r="M2023" i="1"/>
  <c r="V2023" i="1"/>
  <c r="AE2023" i="1"/>
  <c r="C2024" i="1"/>
  <c r="E2024" i="1"/>
  <c r="F2024" i="1"/>
  <c r="H2024" i="1"/>
  <c r="I2024" i="1"/>
  <c r="J2024" i="1"/>
  <c r="L2024" i="1"/>
  <c r="M2024" i="1"/>
  <c r="V2024" i="1"/>
  <c r="AE2024" i="1"/>
  <c r="C2025" i="1"/>
  <c r="E2025" i="1"/>
  <c r="F2025" i="1"/>
  <c r="H2025" i="1"/>
  <c r="I2025" i="1"/>
  <c r="J2025" i="1"/>
  <c r="L2025" i="1"/>
  <c r="M2025" i="1"/>
  <c r="V2025" i="1"/>
  <c r="AE2025" i="1"/>
  <c r="C2026" i="1"/>
  <c r="E2026" i="1"/>
  <c r="F2026" i="1"/>
  <c r="H2026" i="1"/>
  <c r="I2026" i="1"/>
  <c r="J2026" i="1"/>
  <c r="L2026" i="1"/>
  <c r="M2026" i="1"/>
  <c r="V2026" i="1"/>
  <c r="AE2026" i="1"/>
  <c r="C2027" i="1"/>
  <c r="E2027" i="1"/>
  <c r="F2027" i="1"/>
  <c r="H2027" i="1"/>
  <c r="I2027" i="1"/>
  <c r="J2027" i="1"/>
  <c r="L2027" i="1"/>
  <c r="M2027" i="1"/>
  <c r="V2027" i="1"/>
  <c r="AE2027" i="1"/>
  <c r="C2028" i="1"/>
  <c r="E2028" i="1"/>
  <c r="F2028" i="1"/>
  <c r="H2028" i="1"/>
  <c r="I2028" i="1"/>
  <c r="J2028" i="1"/>
  <c r="L2028" i="1"/>
  <c r="M2028" i="1"/>
  <c r="V2028" i="1"/>
  <c r="AE2028" i="1"/>
  <c r="C2029" i="1"/>
  <c r="E2029" i="1"/>
  <c r="F2029" i="1"/>
  <c r="H2029" i="1"/>
  <c r="I2029" i="1"/>
  <c r="J2029" i="1"/>
  <c r="L2029" i="1"/>
  <c r="M2029" i="1"/>
  <c r="V2029" i="1"/>
  <c r="AE2029" i="1"/>
  <c r="C2030" i="1"/>
  <c r="E2030" i="1"/>
  <c r="F2030" i="1"/>
  <c r="H2030" i="1"/>
  <c r="I2030" i="1"/>
  <c r="J2030" i="1"/>
  <c r="L2030" i="1"/>
  <c r="M2030" i="1"/>
  <c r="V2030" i="1"/>
  <c r="AE2030" i="1"/>
  <c r="C2031" i="1"/>
  <c r="E2031" i="1"/>
  <c r="F2031" i="1"/>
  <c r="H2031" i="1"/>
  <c r="I2031" i="1"/>
  <c r="J2031" i="1"/>
  <c r="L2031" i="1"/>
  <c r="M2031" i="1"/>
  <c r="V2031" i="1"/>
  <c r="AE2031" i="1"/>
  <c r="C2032" i="1"/>
  <c r="E2032" i="1"/>
  <c r="F2032" i="1"/>
  <c r="H2032" i="1"/>
  <c r="I2032" i="1"/>
  <c r="J2032" i="1"/>
  <c r="L2032" i="1"/>
  <c r="M2032" i="1"/>
  <c r="V2032" i="1"/>
  <c r="AE2032" i="1"/>
  <c r="C2033" i="1"/>
  <c r="E2033" i="1"/>
  <c r="F2033" i="1"/>
  <c r="H2033" i="1"/>
  <c r="I2033" i="1"/>
  <c r="J2033" i="1"/>
  <c r="L2033" i="1"/>
  <c r="M2033" i="1"/>
  <c r="V2033" i="1"/>
  <c r="AE2033" i="1"/>
  <c r="C2034" i="1"/>
  <c r="E2034" i="1"/>
  <c r="F2034" i="1"/>
  <c r="H2034" i="1"/>
  <c r="I2034" i="1"/>
  <c r="J2034" i="1"/>
  <c r="L2034" i="1"/>
  <c r="M2034" i="1"/>
  <c r="V2034" i="1"/>
  <c r="AE2034" i="1"/>
  <c r="C2035" i="1"/>
  <c r="E2035" i="1"/>
  <c r="F2035" i="1"/>
  <c r="H2035" i="1"/>
  <c r="I2035" i="1"/>
  <c r="J2035" i="1"/>
  <c r="L2035" i="1"/>
  <c r="M2035" i="1"/>
  <c r="V2035" i="1"/>
  <c r="AE2035" i="1"/>
  <c r="C2036" i="1"/>
  <c r="E2036" i="1"/>
  <c r="F2036" i="1"/>
  <c r="H2036" i="1"/>
  <c r="I2036" i="1"/>
  <c r="J2036" i="1"/>
  <c r="L2036" i="1"/>
  <c r="M2036" i="1"/>
  <c r="V2036" i="1"/>
  <c r="AE2036" i="1"/>
  <c r="C2037" i="1"/>
  <c r="E2037" i="1"/>
  <c r="F2037" i="1"/>
  <c r="H2037" i="1"/>
  <c r="I2037" i="1"/>
  <c r="J2037" i="1"/>
  <c r="L2037" i="1"/>
  <c r="M2037" i="1"/>
  <c r="V2037" i="1"/>
  <c r="AE2037" i="1"/>
  <c r="C2038" i="1"/>
  <c r="E2038" i="1"/>
  <c r="F2038" i="1"/>
  <c r="H2038" i="1"/>
  <c r="I2038" i="1"/>
  <c r="J2038" i="1"/>
  <c r="L2038" i="1"/>
  <c r="M2038" i="1"/>
  <c r="V2038" i="1"/>
  <c r="AE2038" i="1"/>
  <c r="C2039" i="1"/>
  <c r="E2039" i="1"/>
  <c r="F2039" i="1"/>
  <c r="H2039" i="1"/>
  <c r="I2039" i="1"/>
  <c r="J2039" i="1"/>
  <c r="L2039" i="1"/>
  <c r="M2039" i="1"/>
  <c r="V2039" i="1"/>
  <c r="AE2039" i="1"/>
  <c r="C2040" i="1"/>
  <c r="E2040" i="1"/>
  <c r="F2040" i="1"/>
  <c r="H2040" i="1"/>
  <c r="I2040" i="1"/>
  <c r="J2040" i="1"/>
  <c r="L2040" i="1"/>
  <c r="M2040" i="1"/>
  <c r="V2040" i="1"/>
  <c r="AE2040" i="1"/>
  <c r="C2041" i="1"/>
  <c r="E2041" i="1"/>
  <c r="F2041" i="1"/>
  <c r="H2041" i="1"/>
  <c r="I2041" i="1"/>
  <c r="J2041" i="1"/>
  <c r="L2041" i="1"/>
  <c r="M2041" i="1"/>
  <c r="V2041" i="1"/>
  <c r="AE2041" i="1"/>
  <c r="C2042" i="1"/>
  <c r="E2042" i="1"/>
  <c r="F2042" i="1"/>
  <c r="H2042" i="1"/>
  <c r="I2042" i="1"/>
  <c r="J2042" i="1"/>
  <c r="L2042" i="1"/>
  <c r="M2042" i="1"/>
  <c r="V2042" i="1"/>
  <c r="AE2042" i="1"/>
  <c r="C2043" i="1"/>
  <c r="E2043" i="1"/>
  <c r="F2043" i="1"/>
  <c r="H2043" i="1"/>
  <c r="I2043" i="1"/>
  <c r="J2043" i="1"/>
  <c r="L2043" i="1"/>
  <c r="M2043" i="1"/>
  <c r="V2043" i="1"/>
  <c r="AE2043" i="1"/>
  <c r="C2044" i="1"/>
  <c r="E2044" i="1"/>
  <c r="F2044" i="1"/>
  <c r="H2044" i="1"/>
  <c r="I2044" i="1"/>
  <c r="J2044" i="1"/>
  <c r="L2044" i="1"/>
  <c r="M2044" i="1"/>
  <c r="V2044" i="1"/>
  <c r="AE2044" i="1"/>
  <c r="C2045" i="1"/>
  <c r="E2045" i="1"/>
  <c r="F2045" i="1"/>
  <c r="H2045" i="1"/>
  <c r="I2045" i="1"/>
  <c r="J2045" i="1"/>
  <c r="L2045" i="1"/>
  <c r="M2045" i="1"/>
  <c r="V2045" i="1"/>
  <c r="AE2045" i="1"/>
  <c r="C2046" i="1"/>
  <c r="E2046" i="1"/>
  <c r="F2046" i="1"/>
  <c r="H2046" i="1"/>
  <c r="I2046" i="1"/>
  <c r="J2046" i="1"/>
  <c r="L2046" i="1"/>
  <c r="M2046" i="1"/>
  <c r="V2046" i="1"/>
  <c r="AE2046" i="1"/>
  <c r="C2047" i="1"/>
  <c r="E2047" i="1"/>
  <c r="F2047" i="1"/>
  <c r="H2047" i="1"/>
  <c r="I2047" i="1"/>
  <c r="J2047" i="1"/>
  <c r="L2047" i="1"/>
  <c r="M2047" i="1"/>
  <c r="V2047" i="1"/>
  <c r="AE2047" i="1"/>
  <c r="C2048" i="1"/>
  <c r="E2048" i="1"/>
  <c r="F2048" i="1"/>
  <c r="H2048" i="1"/>
  <c r="I2048" i="1"/>
  <c r="J2048" i="1"/>
  <c r="L2048" i="1"/>
  <c r="M2048" i="1"/>
  <c r="V2048" i="1"/>
  <c r="AE2048" i="1"/>
  <c r="C2049" i="1"/>
  <c r="E2049" i="1"/>
  <c r="F2049" i="1"/>
  <c r="H2049" i="1"/>
  <c r="I2049" i="1"/>
  <c r="J2049" i="1"/>
  <c r="L2049" i="1"/>
  <c r="M2049" i="1"/>
  <c r="V2049" i="1"/>
  <c r="AE2049" i="1"/>
  <c r="C2050" i="1"/>
  <c r="E2050" i="1"/>
  <c r="F2050" i="1"/>
  <c r="H2050" i="1"/>
  <c r="I2050" i="1"/>
  <c r="J2050" i="1"/>
  <c r="L2050" i="1"/>
  <c r="M2050" i="1"/>
  <c r="V2050" i="1"/>
  <c r="AE2050" i="1"/>
  <c r="C2051" i="1"/>
  <c r="E2051" i="1"/>
  <c r="F2051" i="1"/>
  <c r="H2051" i="1"/>
  <c r="I2051" i="1"/>
  <c r="J2051" i="1"/>
  <c r="L2051" i="1"/>
  <c r="M2051" i="1"/>
  <c r="V2051" i="1"/>
  <c r="AE2051" i="1"/>
  <c r="C2052" i="1"/>
  <c r="E2052" i="1"/>
  <c r="F2052" i="1"/>
  <c r="H2052" i="1"/>
  <c r="I2052" i="1"/>
  <c r="J2052" i="1"/>
  <c r="L2052" i="1"/>
  <c r="M2052" i="1"/>
  <c r="V2052" i="1"/>
  <c r="AE2052" i="1"/>
  <c r="C2053" i="1"/>
  <c r="E2053" i="1"/>
  <c r="F2053" i="1"/>
  <c r="H2053" i="1"/>
  <c r="I2053" i="1"/>
  <c r="J2053" i="1"/>
  <c r="L2053" i="1"/>
  <c r="M2053" i="1"/>
  <c r="V2053" i="1"/>
  <c r="AE2053" i="1"/>
  <c r="C2054" i="1"/>
  <c r="E2054" i="1"/>
  <c r="F2054" i="1"/>
  <c r="H2054" i="1"/>
  <c r="I2054" i="1"/>
  <c r="J2054" i="1"/>
  <c r="L2054" i="1"/>
  <c r="M2054" i="1"/>
  <c r="V2054" i="1"/>
  <c r="AE2054" i="1"/>
  <c r="C2055" i="1"/>
  <c r="E2055" i="1"/>
  <c r="F2055" i="1"/>
  <c r="H2055" i="1"/>
  <c r="I2055" i="1"/>
  <c r="J2055" i="1"/>
  <c r="L2055" i="1"/>
  <c r="M2055" i="1"/>
  <c r="V2055" i="1"/>
  <c r="AE2055" i="1"/>
  <c r="C2056" i="1"/>
  <c r="E2056" i="1"/>
  <c r="F2056" i="1"/>
  <c r="H2056" i="1"/>
  <c r="I2056" i="1"/>
  <c r="J2056" i="1"/>
  <c r="L2056" i="1"/>
  <c r="M2056" i="1"/>
  <c r="V2056" i="1"/>
  <c r="AE2056" i="1"/>
  <c r="C2057" i="1"/>
  <c r="E2057" i="1"/>
  <c r="F2057" i="1"/>
  <c r="H2057" i="1"/>
  <c r="I2057" i="1"/>
  <c r="J2057" i="1"/>
  <c r="L2057" i="1"/>
  <c r="M2057" i="1"/>
  <c r="V2057" i="1"/>
  <c r="AE2057" i="1"/>
  <c r="C2058" i="1"/>
  <c r="E2058" i="1"/>
  <c r="F2058" i="1"/>
  <c r="H2058" i="1"/>
  <c r="I2058" i="1"/>
  <c r="J2058" i="1"/>
  <c r="L2058" i="1"/>
  <c r="M2058" i="1"/>
  <c r="V2058" i="1"/>
  <c r="AE2058" i="1"/>
  <c r="C2059" i="1"/>
  <c r="E2059" i="1"/>
  <c r="F2059" i="1"/>
  <c r="H2059" i="1"/>
  <c r="I2059" i="1"/>
  <c r="J2059" i="1"/>
  <c r="L2059" i="1"/>
  <c r="M2059" i="1"/>
  <c r="V2059" i="1"/>
  <c r="AE2059" i="1"/>
  <c r="C2060" i="1"/>
  <c r="E2060" i="1"/>
  <c r="F2060" i="1"/>
  <c r="H2060" i="1"/>
  <c r="I2060" i="1"/>
  <c r="J2060" i="1"/>
  <c r="L2060" i="1"/>
  <c r="M2060" i="1"/>
  <c r="V2060" i="1"/>
  <c r="AE2060" i="1"/>
  <c r="C2061" i="1"/>
  <c r="E2061" i="1"/>
  <c r="F2061" i="1"/>
  <c r="H2061" i="1"/>
  <c r="I2061" i="1"/>
  <c r="J2061" i="1"/>
  <c r="L2061" i="1"/>
  <c r="M2061" i="1"/>
  <c r="V2061" i="1"/>
  <c r="AE2061" i="1"/>
  <c r="C2062" i="1"/>
  <c r="E2062" i="1"/>
  <c r="F2062" i="1"/>
  <c r="H2062" i="1"/>
  <c r="I2062" i="1"/>
  <c r="J2062" i="1"/>
  <c r="L2062" i="1"/>
  <c r="M2062" i="1"/>
  <c r="V2062" i="1"/>
  <c r="AE2062" i="1"/>
  <c r="C2063" i="1"/>
  <c r="E2063" i="1"/>
  <c r="F2063" i="1"/>
  <c r="H2063" i="1"/>
  <c r="I2063" i="1"/>
  <c r="J2063" i="1"/>
  <c r="L2063" i="1"/>
  <c r="M2063" i="1"/>
  <c r="V2063" i="1"/>
  <c r="AE2063" i="1"/>
  <c r="C2064" i="1"/>
  <c r="E2064" i="1"/>
  <c r="F2064" i="1"/>
  <c r="H2064" i="1"/>
  <c r="I2064" i="1"/>
  <c r="J2064" i="1"/>
  <c r="L2064" i="1"/>
  <c r="M2064" i="1"/>
  <c r="V2064" i="1"/>
  <c r="AE2064" i="1"/>
  <c r="C2065" i="1"/>
  <c r="E2065" i="1"/>
  <c r="F2065" i="1"/>
  <c r="H2065" i="1"/>
  <c r="I2065" i="1"/>
  <c r="J2065" i="1"/>
  <c r="L2065" i="1"/>
  <c r="M2065" i="1"/>
  <c r="V2065" i="1"/>
  <c r="AE2065" i="1"/>
  <c r="C2066" i="1"/>
  <c r="E2066" i="1"/>
  <c r="F2066" i="1"/>
  <c r="H2066" i="1"/>
  <c r="I2066" i="1"/>
  <c r="J2066" i="1"/>
  <c r="L2066" i="1"/>
  <c r="M2066" i="1"/>
  <c r="V2066" i="1"/>
  <c r="AE2066" i="1"/>
  <c r="C2067" i="1"/>
  <c r="E2067" i="1"/>
  <c r="F2067" i="1"/>
  <c r="H2067" i="1"/>
  <c r="I2067" i="1"/>
  <c r="J2067" i="1"/>
  <c r="L2067" i="1"/>
  <c r="M2067" i="1"/>
  <c r="V2067" i="1"/>
  <c r="AE2067" i="1"/>
  <c r="C2068" i="1"/>
  <c r="E2068" i="1"/>
  <c r="F2068" i="1"/>
  <c r="H2068" i="1"/>
  <c r="I2068" i="1"/>
  <c r="J2068" i="1"/>
  <c r="L2068" i="1"/>
  <c r="M2068" i="1"/>
  <c r="V2068" i="1"/>
  <c r="AE2068" i="1"/>
  <c r="C2069" i="1"/>
  <c r="E2069" i="1"/>
  <c r="F2069" i="1"/>
  <c r="H2069" i="1"/>
  <c r="I2069" i="1"/>
  <c r="J2069" i="1"/>
  <c r="L2069" i="1"/>
  <c r="M2069" i="1"/>
  <c r="V2069" i="1"/>
  <c r="AE2069" i="1"/>
  <c r="C2070" i="1"/>
  <c r="E2070" i="1"/>
  <c r="F2070" i="1"/>
  <c r="H2070" i="1"/>
  <c r="I2070" i="1"/>
  <c r="J2070" i="1"/>
  <c r="L2070" i="1"/>
  <c r="M2070" i="1"/>
  <c r="V2070" i="1"/>
  <c r="AE2070" i="1"/>
  <c r="C2071" i="1"/>
  <c r="E2071" i="1"/>
  <c r="F2071" i="1"/>
  <c r="H2071" i="1"/>
  <c r="I2071" i="1"/>
  <c r="J2071" i="1"/>
  <c r="L2071" i="1"/>
  <c r="M2071" i="1"/>
  <c r="V2071" i="1"/>
  <c r="AE2071" i="1"/>
  <c r="C2072" i="1"/>
  <c r="E2072" i="1"/>
  <c r="F2072" i="1"/>
  <c r="H2072" i="1"/>
  <c r="I2072" i="1"/>
  <c r="J2072" i="1"/>
  <c r="L2072" i="1"/>
  <c r="M2072" i="1"/>
  <c r="V2072" i="1"/>
  <c r="AE2072" i="1"/>
  <c r="C2073" i="1"/>
  <c r="E2073" i="1"/>
  <c r="F2073" i="1"/>
  <c r="H2073" i="1"/>
  <c r="I2073" i="1"/>
  <c r="J2073" i="1"/>
  <c r="L2073" i="1"/>
  <c r="M2073" i="1"/>
  <c r="V2073" i="1"/>
  <c r="AE2073" i="1"/>
  <c r="C2074" i="1"/>
  <c r="E2074" i="1"/>
  <c r="F2074" i="1"/>
  <c r="H2074" i="1"/>
  <c r="I2074" i="1"/>
  <c r="J2074" i="1"/>
  <c r="L2074" i="1"/>
  <c r="M2074" i="1"/>
  <c r="V2074" i="1"/>
  <c r="AE2074" i="1"/>
  <c r="C2075" i="1"/>
  <c r="E2075" i="1"/>
  <c r="F2075" i="1"/>
  <c r="H2075" i="1"/>
  <c r="I2075" i="1"/>
  <c r="J2075" i="1"/>
  <c r="L2075" i="1"/>
  <c r="M2075" i="1"/>
  <c r="V2075" i="1"/>
  <c r="AE2075" i="1"/>
</calcChain>
</file>

<file path=xl/sharedStrings.xml><?xml version="1.0" encoding="utf-8"?>
<sst xmlns="http://schemas.openxmlformats.org/spreadsheetml/2006/main" count="27010" uniqueCount="1017">
  <si>
    <t>gl file id</t>
  </si>
  <si>
    <t>fund</t>
  </si>
  <si>
    <t>func</t>
  </si>
  <si>
    <t>obj</t>
  </si>
  <si>
    <t>sobj</t>
  </si>
  <si>
    <t>org</t>
  </si>
  <si>
    <t>fscl_yr</t>
  </si>
  <si>
    <t>pgm</t>
  </si>
  <si>
    <t>ed span</t>
  </si>
  <si>
    <t>proj dtl</t>
  </si>
  <si>
    <t>check dt</t>
  </si>
  <si>
    <t>check nbr</t>
  </si>
  <si>
    <t>vendor nbr</t>
  </si>
  <si>
    <t>vendor name</t>
  </si>
  <si>
    <t>net expend amt</t>
  </si>
  <si>
    <t>check void flg</t>
  </si>
  <si>
    <t>ytd type</t>
  </si>
  <si>
    <t>prt void</t>
  </si>
  <si>
    <t>prt ded</t>
  </si>
  <si>
    <t>prt wire</t>
  </si>
  <si>
    <t>prt test pattern</t>
  </si>
  <si>
    <t>cremo nbr</t>
  </si>
  <si>
    <t>trans dt</t>
  </si>
  <si>
    <t>account nbr</t>
  </si>
  <si>
    <t>cf_rsn</t>
  </si>
  <si>
    <t>rsn</t>
  </si>
  <si>
    <t>abs amt</t>
  </si>
  <si>
    <t>fund descr</t>
  </si>
  <si>
    <t>org descr</t>
  </si>
  <si>
    <t>type cd</t>
  </si>
  <si>
    <t>acct per</t>
  </si>
  <si>
    <t>eft payment flag</t>
  </si>
  <si>
    <t>MEXICO LINDO RESTAURANT</t>
  </si>
  <si>
    <t>YXX</t>
  </si>
  <si>
    <t>N</t>
  </si>
  <si>
    <t>Y</t>
  </si>
  <si>
    <t>865-00-2190.21-000-500000</t>
  </si>
  <si>
    <t xml:space="preserve">PTSO-100% MEMBERSHIP </t>
  </si>
  <si>
    <t xml:space="preserve">STUDENT ACTIVITY </t>
  </si>
  <si>
    <t>NO ORGANIZATION</t>
  </si>
  <si>
    <t>C</t>
  </si>
  <si>
    <t xml:space="preserve">WAXAHACHIE FAITH FAMILY </t>
  </si>
  <si>
    <t>865-00-2171.00-000-500000</t>
  </si>
  <si>
    <t xml:space="preserve">DEPOSIT CORR-WRONG </t>
  </si>
  <si>
    <t>American Express</t>
  </si>
  <si>
    <t>865-00-2190.49-000-500000</t>
  </si>
  <si>
    <t>SENIOR CLASS/FIELD TRIP-</t>
  </si>
  <si>
    <t>MELISSA MOORE</t>
  </si>
  <si>
    <t>865-00-2190.37-000-500000</t>
  </si>
  <si>
    <t>Birthday Celebration</t>
  </si>
  <si>
    <t>JESSICA VALENTINE</t>
  </si>
  <si>
    <t>REIMB-BOUNCE HOUSE-</t>
  </si>
  <si>
    <t>PAM LUTTRULL</t>
  </si>
  <si>
    <t xml:space="preserve">REIMB-PETTY CASH START </t>
  </si>
  <si>
    <t>865-00-2190.26-000-500000</t>
  </si>
  <si>
    <t xml:space="preserve">DEPOSIT CORRECTION-SF </t>
  </si>
  <si>
    <t>TERESA KENT</t>
  </si>
  <si>
    <t>Veteran's Day</t>
  </si>
  <si>
    <t>THE GRAPHIX STORE</t>
  </si>
  <si>
    <t>AMAZON</t>
  </si>
  <si>
    <t>November Birthday Celebration</t>
  </si>
  <si>
    <t>NATIONAL HONOR SOCIETY</t>
  </si>
  <si>
    <t>865-00-2190.57-000-500000</t>
  </si>
  <si>
    <t>NHS</t>
  </si>
  <si>
    <t>865-00-2190.58-000-500000</t>
  </si>
  <si>
    <t>NJHS</t>
  </si>
  <si>
    <t>PTSO SPIRIT SHIRTS</t>
  </si>
  <si>
    <t>865-00-2190.23-000-500000</t>
  </si>
  <si>
    <t>Monthly Birthday Celebration</t>
  </si>
  <si>
    <t>GIFTS 'N THINGS, INC.</t>
  </si>
  <si>
    <t>Holiday Shop</t>
  </si>
  <si>
    <t>Monthly birthday cake</t>
  </si>
  <si>
    <t>SCHOLASTIC BOOK FAIRS</t>
  </si>
  <si>
    <t>865-00-2190.56-000-500000</t>
  </si>
  <si>
    <t>BOOK FAIR</t>
  </si>
  <si>
    <t>REQ#12629</t>
  </si>
  <si>
    <t>Monthly Birthday Cake</t>
  </si>
  <si>
    <t xml:space="preserve">AMERICAN HEART </t>
  </si>
  <si>
    <t>American Heart Assoc. Donation</t>
  </si>
  <si>
    <t>ROCKELLE MORRIS</t>
  </si>
  <si>
    <t>865-00-2190.27-000-500000</t>
  </si>
  <si>
    <t>FIELD TRIP FEE REIMB</t>
  </si>
  <si>
    <t>865-00-2190.28-000-500000</t>
  </si>
  <si>
    <t xml:space="preserve">FIELD TRIP REIMB-BUS </t>
  </si>
  <si>
    <t xml:space="preserve">TIFF'S TREATS-TEACHER </t>
  </si>
  <si>
    <t>WALGREEN'S</t>
  </si>
  <si>
    <t xml:space="preserve">DALLAS HOLOCAUST </t>
  </si>
  <si>
    <t>HS Social Studies Field Trip</t>
  </si>
  <si>
    <t>DALLAS ZOO</t>
  </si>
  <si>
    <t>Kindergarten Field Tip</t>
  </si>
  <si>
    <t xml:space="preserve">LEUKEMIA AND LYMPHOMA </t>
  </si>
  <si>
    <t>Leukemia Fundraiser</t>
  </si>
  <si>
    <t>Teacher Appreciation</t>
  </si>
  <si>
    <t xml:space="preserve">STRAWBERRY ICE CREAM </t>
  </si>
  <si>
    <t>2ND GRADE FIELD TRIP</t>
  </si>
  <si>
    <t xml:space="preserve">MIDLOTHIAN CONFERENCE </t>
  </si>
  <si>
    <t>865-00-2190.43-000-500000</t>
  </si>
  <si>
    <t>Prom Venue</t>
  </si>
  <si>
    <t>ARMANDO CRUZ</t>
  </si>
  <si>
    <t>PO NUMBER 2760</t>
  </si>
  <si>
    <t>BLUE MOOSE TEES</t>
  </si>
  <si>
    <t>FIELD DAY T-SHIRTS</t>
  </si>
  <si>
    <t>SIR ANTHONY CRAYTON</t>
  </si>
  <si>
    <t xml:space="preserve">PTSO TEACHER </t>
  </si>
  <si>
    <t xml:space="preserve">TEACHER </t>
  </si>
  <si>
    <t>PIZZA INN</t>
  </si>
  <si>
    <t>SUCCESSORIES</t>
  </si>
  <si>
    <t>GRADUATION SOURCE</t>
  </si>
  <si>
    <t>EWE PET PETTING ZOO</t>
  </si>
  <si>
    <t>FORT WORTH MUSEUM</t>
  </si>
  <si>
    <t>="</t>
  </si>
  <si>
    <t>FIELD TRIP REFUND</t>
  </si>
  <si>
    <t>M</t>
  </si>
  <si>
    <t xml:space="preserve">PRECISION BUSINESS </t>
  </si>
  <si>
    <t>PTSO</t>
  </si>
  <si>
    <t>Daddy/Daughter Dance</t>
  </si>
  <si>
    <t>Monthly BDay Cake</t>
  </si>
  <si>
    <t>Field Day</t>
  </si>
  <si>
    <t>MIRANDA OLSON</t>
  </si>
  <si>
    <t>TEACHER OF THE YEAR</t>
  </si>
  <si>
    <t>STAPLES ADVANTAGE</t>
  </si>
  <si>
    <t>Daddy Daughter Dance Supplies</t>
  </si>
  <si>
    <t>VANESSA LOTT</t>
  </si>
  <si>
    <t>FAITH FAMILY ACADEMY OC</t>
  </si>
  <si>
    <t>REIMB-FEILD TRIP</t>
  </si>
  <si>
    <t>JOSTENS</t>
  </si>
  <si>
    <t>Kindergarten Graduation</t>
  </si>
  <si>
    <t>MICHAEL SANDERSON</t>
  </si>
  <si>
    <t>Senior Night</t>
  </si>
  <si>
    <t xml:space="preserve">ORIENTAL TRADING </t>
  </si>
  <si>
    <t>ORIENTAL TRADING COMANY</t>
  </si>
  <si>
    <t>EWE PETTING ZOO</t>
  </si>
  <si>
    <t xml:space="preserve">FORT WORTH MUSEUM </t>
  </si>
  <si>
    <t>RIPLEY'S BELIEVE IT OR NOT</t>
  </si>
  <si>
    <t>OLIVE GARDEN</t>
  </si>
  <si>
    <t xml:space="preserve">INDEPENDENCE COMMUNITY </t>
  </si>
  <si>
    <t xml:space="preserve">SCHOLARSHIP-DP-DAVID </t>
  </si>
  <si>
    <t>NAVARRO COLLEGE</t>
  </si>
  <si>
    <t xml:space="preserve">SCHOLARSHIP-DP-HAILEY </t>
  </si>
  <si>
    <t>CAROLYN A. POWERS</t>
  </si>
  <si>
    <t>420-34-6219.00-999-599000</t>
  </si>
  <si>
    <t>CONTRACTED SERVICES</t>
  </si>
  <si>
    <t>GENERAL FUND</t>
  </si>
  <si>
    <t>UNDISTRIBUTED</t>
  </si>
  <si>
    <t>D</t>
  </si>
  <si>
    <t>RONALD GARRETT</t>
  </si>
  <si>
    <t>BEVERLY K. FLANARY</t>
  </si>
  <si>
    <t>420-11-6219.00-101-511000</t>
  </si>
  <si>
    <t>PSP SERVICES</t>
  </si>
  <si>
    <t>Bank of New York Trust Co. N.A.</t>
  </si>
  <si>
    <t>429-71-6521.00-999-598000</t>
  </si>
  <si>
    <t xml:space="preserve">INTEREST DUE (1/12)-SERIES </t>
  </si>
  <si>
    <t xml:space="preserve">STATE FUNDED </t>
  </si>
  <si>
    <t>429-71-6521.00-999-598001</t>
  </si>
  <si>
    <t>PRINCIPAL (1/12)-SERIES A</t>
  </si>
  <si>
    <t>429-71-6521.00-999-599000</t>
  </si>
  <si>
    <t xml:space="preserve">INTEREST DUE (1/12) SERIES </t>
  </si>
  <si>
    <t>429-71-6521.00-999-599002</t>
  </si>
  <si>
    <t>PRINCIPAL (1/12)-SERIES B</t>
  </si>
  <si>
    <t>REGIONS BANK</t>
  </si>
  <si>
    <t>429-71-6521.00-999-599003</t>
  </si>
  <si>
    <t>LOAN PMT-INTEREST</t>
  </si>
  <si>
    <t>429-71-6521.00-999-599004</t>
  </si>
  <si>
    <t>LOAN PMT PRINCIPAL</t>
  </si>
  <si>
    <t>JEANNE A. WALKER</t>
  </si>
  <si>
    <t>420-11-6219.00-001-511000</t>
  </si>
  <si>
    <t>420-11-6219.00-999-511000</t>
  </si>
  <si>
    <t>WELLS FARGO VISA</t>
  </si>
  <si>
    <t>420-41-6499.00-750-599000</t>
  </si>
  <si>
    <t>CREDIT CARD AUTO PMT</t>
  </si>
  <si>
    <t xml:space="preserve">INDIRECT COSTS - </t>
  </si>
  <si>
    <t>LOAN PMT FEE</t>
  </si>
  <si>
    <t>GEORGIA KNEL GANDY</t>
  </si>
  <si>
    <t>211-11-6219.00-001-530000</t>
  </si>
  <si>
    <t xml:space="preserve">ESEA TITLE I-A IMPROVING </t>
  </si>
  <si>
    <t>211-11-6219.00-041-530000</t>
  </si>
  <si>
    <t>KATHY HOES</t>
  </si>
  <si>
    <t>255-11-6219.00-999-530000</t>
  </si>
  <si>
    <t>ESEA TITLE II PART A</t>
  </si>
  <si>
    <t>CONTRACTED SERVICES-</t>
  </si>
  <si>
    <t>JANICE VARNELL</t>
  </si>
  <si>
    <t>211-11-6219.00-101-530000</t>
  </si>
  <si>
    <t xml:space="preserve">MANUEL RODRIGUEZ </t>
  </si>
  <si>
    <t>420-51-6219.00-999-599000</t>
  </si>
  <si>
    <t xml:space="preserve">CONCRETE-CONCESSION </t>
  </si>
  <si>
    <t>420-51-6319.00-999-599000</t>
  </si>
  <si>
    <t>420-36-6219.00-999-591000</t>
  </si>
  <si>
    <t>LINDA T. SOLOMON</t>
  </si>
  <si>
    <t>INTEREST DUE SERIES A</t>
  </si>
  <si>
    <t>PRINCIPAL DUE SERIES A</t>
  </si>
  <si>
    <t>INTEREST DUE SERIES B</t>
  </si>
  <si>
    <t>PRINCIPAL DUE SERIES B</t>
  </si>
  <si>
    <t>LOAN PMT FEES</t>
  </si>
  <si>
    <t>LOAN PMT INTEREST</t>
  </si>
  <si>
    <t>SES PROVIDER SERVICES</t>
  </si>
  <si>
    <t>MARIA. A. GARZA</t>
  </si>
  <si>
    <t>263-11-6219.00-999-525000</t>
  </si>
  <si>
    <t>TITLE III, PART A</t>
  </si>
  <si>
    <t>CREDIT CARD AUTO PAY</t>
  </si>
  <si>
    <t xml:space="preserve">CONTRATED SERVICES-BUS </t>
  </si>
  <si>
    <t>LOAN PMT-PRINCIPAL</t>
  </si>
  <si>
    <t xml:space="preserve">BANK OF NEW YORK TRUST </t>
  </si>
  <si>
    <t>JULIA ALEJANDRA PEREZ-</t>
  </si>
  <si>
    <t>420-51-6299.00-999-599000</t>
  </si>
  <si>
    <t>CONTRACT LABOR</t>
  </si>
  <si>
    <t>RODOLFO ERASMO PADILLA-</t>
  </si>
  <si>
    <t>RONALD SHROPSHIRE</t>
  </si>
  <si>
    <t>MARVIN MOONEY</t>
  </si>
  <si>
    <t>420-52-6219.00-999-599000</t>
  </si>
  <si>
    <t>224-11-6219.00-999-523000</t>
  </si>
  <si>
    <t>CONTRACTED LABOR</t>
  </si>
  <si>
    <t>IDEA - PART B FORMULA</t>
  </si>
  <si>
    <t>ALLIANCE OFFICE SYSTEMS</t>
  </si>
  <si>
    <t>420-11-6269.00-999-511000</t>
  </si>
  <si>
    <t>PRINTER COPIES</t>
  </si>
  <si>
    <t>AT&amp;T</t>
  </si>
  <si>
    <t>420-51-6259.54-999-599000</t>
  </si>
  <si>
    <t>PHONE</t>
  </si>
  <si>
    <t>BAT FIRE &amp; SECURITY</t>
  </si>
  <si>
    <t>SECURITY MONITORING</t>
  </si>
  <si>
    <t>BRANDY KERBOW</t>
  </si>
  <si>
    <t>LAMAR COMPANIES</t>
  </si>
  <si>
    <t>420-61-6219.00-999-511000</t>
  </si>
  <si>
    <t>BILLBOARDS-MARKETING</t>
  </si>
  <si>
    <t>LC CONTAINER</t>
  </si>
  <si>
    <t>420-51-6269.00-999-599000</t>
  </si>
  <si>
    <t xml:space="preserve">STORAGE CONTAINER </t>
  </si>
  <si>
    <t xml:space="preserve">LIBERTY POWER HOLDINGS, </t>
  </si>
  <si>
    <t>420-51-6259.53-999-599000</t>
  </si>
  <si>
    <t>UTILITIES-ELECTRIC</t>
  </si>
  <si>
    <t>Marlin Leasing Corp.</t>
  </si>
  <si>
    <t>COPIER LEASE</t>
  </si>
  <si>
    <t>MD Solutions</t>
  </si>
  <si>
    <t>420-33-6219.00-999-599000</t>
  </si>
  <si>
    <t xml:space="preserve">MEDICAL DIRECTION </t>
  </si>
  <si>
    <t xml:space="preserve">HEARTLAND PAYMENT </t>
  </si>
  <si>
    <t>240-35-6349.00-999-599000</t>
  </si>
  <si>
    <t>CAFETERIA LICENSE</t>
  </si>
  <si>
    <t xml:space="preserve">NATL BREAKFAST/LUNCH </t>
  </si>
  <si>
    <t>420-11-6399.00-001-511000</t>
  </si>
  <si>
    <t>REIMB-CLASSROOM EXP</t>
  </si>
  <si>
    <t>420-11-6399.00-041-511000</t>
  </si>
  <si>
    <t xml:space="preserve">PROGRESSIVE WASTE SOL </t>
  </si>
  <si>
    <t>420-51-6259.55-999-599000</t>
  </si>
  <si>
    <t>UTILITIES-WATER</t>
  </si>
  <si>
    <t>Sardis Lone Elm Water Supply</t>
  </si>
  <si>
    <t>420-11-6399.00-101-511000</t>
  </si>
  <si>
    <t>ELEMENTARY SUPPLIES</t>
  </si>
  <si>
    <t xml:space="preserve">TELEPACIFIC </t>
  </si>
  <si>
    <t>TIDY TOILETS OF TEXAS</t>
  </si>
  <si>
    <t>PORTABLE TOILETS</t>
  </si>
  <si>
    <t>UNIFIRST HOLDINGS, INC.</t>
  </si>
  <si>
    <t>240-35-6299.00-999-599000</t>
  </si>
  <si>
    <t>UNIFORMS</t>
  </si>
  <si>
    <t>FFA Workers Comp. Account</t>
  </si>
  <si>
    <t>420-41-6219.00-750-599000</t>
  </si>
  <si>
    <t xml:space="preserve">WORKERS COMP SHARINGS </t>
  </si>
  <si>
    <t>Barsco</t>
  </si>
  <si>
    <t xml:space="preserve">WAXAHACHIE FRONT OFFICE </t>
  </si>
  <si>
    <t>City of Waxahachie</t>
  </si>
  <si>
    <t>240-00-2110.00-000-500000</t>
  </si>
  <si>
    <t>POS RENEWAL 14/15</t>
  </si>
  <si>
    <t>Scholastic Book Clubs</t>
  </si>
  <si>
    <t>420-00-2110.00-000-500000</t>
  </si>
  <si>
    <t>SHIPPING-PO 2239</t>
  </si>
  <si>
    <t>SYSCO DALLAS, INC.</t>
  </si>
  <si>
    <t>FOOD/SUPPLIES</t>
  </si>
  <si>
    <t>240-35-6319.00-999-599000</t>
  </si>
  <si>
    <t>240-35-6341.00-999-599000</t>
  </si>
  <si>
    <t>240-35-6342.00-999-599000</t>
  </si>
  <si>
    <t xml:space="preserve">TEXAS MUTUAL INSURANCE </t>
  </si>
  <si>
    <t>INSURANCE INSTALLMENT-</t>
  </si>
  <si>
    <t xml:space="preserve">TIME WARNER CABLE </t>
  </si>
  <si>
    <t>PHONE-INTERNET</t>
  </si>
  <si>
    <t xml:space="preserve">University Interscholastic </t>
  </si>
  <si>
    <t>420-36-6499.00-001-591000</t>
  </si>
  <si>
    <t>UIL MEMBERSHIP FEES</t>
  </si>
  <si>
    <t>420-36-6499.00-001-599000</t>
  </si>
  <si>
    <t>EOC BY THE SEA</t>
  </si>
  <si>
    <t>AFLAC</t>
  </si>
  <si>
    <t>420-00-2153.00-008-500000</t>
  </si>
  <si>
    <t xml:space="preserve">SEP DED HEALTH </t>
  </si>
  <si>
    <t>AFLAC PRE TAX</t>
  </si>
  <si>
    <t>420-00-2159.00-009-500000</t>
  </si>
  <si>
    <t xml:space="preserve">SEP DED INCOME </t>
  </si>
  <si>
    <t>AFLAC AFTER TAX</t>
  </si>
  <si>
    <t>MetLife SBC</t>
  </si>
  <si>
    <t>420-00-2153.00-005-500000</t>
  </si>
  <si>
    <t>METLIFE DENTAL PPO</t>
  </si>
  <si>
    <t>420-00-2153.00-006-500000</t>
  </si>
  <si>
    <t>METLIFE DENTAL HMO</t>
  </si>
  <si>
    <t>Region 10 Education Service Ct</t>
  </si>
  <si>
    <t>420-00-2159.00-021-500000</t>
  </si>
  <si>
    <t xml:space="preserve">SEP DED MISCELLANEOUS </t>
  </si>
  <si>
    <t>REGION 10 TPC</t>
  </si>
  <si>
    <t>TRS</t>
  </si>
  <si>
    <t>420-00-2159.00-150-500000</t>
  </si>
  <si>
    <t>TRS BUY BACK</t>
  </si>
  <si>
    <t>ASPIRE FINANCIAL</t>
  </si>
  <si>
    <t>420-00-2159.00-158-500000</t>
  </si>
  <si>
    <t>SHELL FLEET PLUS</t>
  </si>
  <si>
    <t>420-34-6311.00-999-599000</t>
  </si>
  <si>
    <t>CREDIT CARD PMT-FUEL</t>
  </si>
  <si>
    <t xml:space="preserve">AIE CONFERENCE, AUSTIN, </t>
  </si>
  <si>
    <t xml:space="preserve">AIE CONFERENCE </t>
  </si>
  <si>
    <t>TRANSPORTATION FUEL</t>
  </si>
  <si>
    <t>JOEYS SECURITY</t>
  </si>
  <si>
    <t>Avaya Financial Services</t>
  </si>
  <si>
    <t>PHONE LEASE</t>
  </si>
  <si>
    <t>Blue Bell Creameries, L.P.</t>
  </si>
  <si>
    <t>FOOD</t>
  </si>
  <si>
    <t>Claims Administrative Services</t>
  </si>
  <si>
    <t xml:space="preserve">WORKERS COMP CLAIM-C </t>
  </si>
  <si>
    <t>J. A. LANDSCAPING</t>
  </si>
  <si>
    <t>420-51-6249.00-999-599000</t>
  </si>
  <si>
    <t>LAWNCARE SERVICES</t>
  </si>
  <si>
    <t xml:space="preserve">KIMBROUGH FIRE </t>
  </si>
  <si>
    <t xml:space="preserve">FIRE EXTINGUISHER </t>
  </si>
  <si>
    <t>LEAF</t>
  </si>
  <si>
    <t>PRINTER LEASE</t>
  </si>
  <si>
    <t xml:space="preserve">MARKEL INSURANCE </t>
  </si>
  <si>
    <t>420-34-6429.00-999-599000</t>
  </si>
  <si>
    <t>420-41-6429.00-750-599000</t>
  </si>
  <si>
    <t>420-51-6429.00-999-599000</t>
  </si>
  <si>
    <t>OAK FARMS DALLAS</t>
  </si>
  <si>
    <t xml:space="preserve">OCCUPATIONAL HEALTH </t>
  </si>
  <si>
    <t>DRUG SCREENING-SECURITY</t>
  </si>
  <si>
    <t xml:space="preserve">LEAD4WARD END OF </t>
  </si>
  <si>
    <t>420-11-6411.00-999-511000</t>
  </si>
  <si>
    <t xml:space="preserve">WELLS FARGO EQUIPMENT </t>
  </si>
  <si>
    <t>420-34-6513.00-999-599000</t>
  </si>
  <si>
    <t>BUS #2 PAYMENT</t>
  </si>
  <si>
    <t>ACE MART</t>
  </si>
  <si>
    <t>CAFETERIA SUPPLIES</t>
  </si>
  <si>
    <t xml:space="preserve">ART GLASS AND METAL </t>
  </si>
  <si>
    <t xml:space="preserve">WAXAHACHIE DOOR </t>
  </si>
  <si>
    <t>BRENDA HINES</t>
  </si>
  <si>
    <t>DEDMON SECURITY CO., INC.</t>
  </si>
  <si>
    <t>FIRE ALARM MONITORING</t>
  </si>
  <si>
    <t>GREEN FOR GREEN, INC.</t>
  </si>
  <si>
    <t>Baseball Field</t>
  </si>
  <si>
    <t xml:space="preserve">KONICA MINOLTA BUSINESS </t>
  </si>
  <si>
    <t xml:space="preserve">COPIER OVERAGES/MO </t>
  </si>
  <si>
    <t>MORPHOTRUST USA</t>
  </si>
  <si>
    <t>FINGERPRINTING FEES</t>
  </si>
  <si>
    <t>Olmsted-Kirk Paper Company</t>
  </si>
  <si>
    <t>Custodial supplies</t>
  </si>
  <si>
    <t xml:space="preserve">AIE CONFERENCE AUSTIN, </t>
  </si>
  <si>
    <t>SPORTS ADVISORY COUNCIL</t>
  </si>
  <si>
    <t>Softball Tournament</t>
  </si>
  <si>
    <t>240-51-6319.00-999-599000</t>
  </si>
  <si>
    <t>TERRY HERVEY</t>
  </si>
  <si>
    <t>420-00-2159.00-157-500000</t>
  </si>
  <si>
    <t>PTSO MEMBERSHIP</t>
  </si>
  <si>
    <t>PTSO DUES</t>
  </si>
  <si>
    <t>ED HUNGASKI</t>
  </si>
  <si>
    <t>420-51-6499.00-999-599000</t>
  </si>
  <si>
    <t>ELECTRICAL PERMIT FEE</t>
  </si>
  <si>
    <t>COPIER LEASE-ALLIANCE</t>
  </si>
  <si>
    <t xml:space="preserve">SECURITY MONITORING-NOV </t>
  </si>
  <si>
    <t xml:space="preserve">BLUE BELL ICE CREAM </t>
  </si>
  <si>
    <t xml:space="preserve">SIX TRAITS OF WRITING </t>
  </si>
  <si>
    <t>CALVIN MCGILL</t>
  </si>
  <si>
    <t>Cross Country</t>
  </si>
  <si>
    <t>DATA MANAGEMENT, INC.</t>
  </si>
  <si>
    <t>420-53-6219.00-999-599000</t>
  </si>
  <si>
    <t>TIME CLOCK PLUS</t>
  </si>
  <si>
    <t>DICKENS PEST CONTROL</t>
  </si>
  <si>
    <t>PEST CONTROL</t>
  </si>
  <si>
    <t>ENNIS CROSS COUNTRY</t>
  </si>
  <si>
    <t>ATHLETICS/CROSS COUNTRY</t>
  </si>
  <si>
    <t xml:space="preserve">LAMAR ADVERTISING-OCT </t>
  </si>
  <si>
    <t xml:space="preserve">Precision Business Machines, </t>
  </si>
  <si>
    <t>School Laminating Film</t>
  </si>
  <si>
    <t>420-51-6259.50-999-599000</t>
  </si>
  <si>
    <t>UTILITIES-TRASH</t>
  </si>
  <si>
    <t>DISCOVERY STREAMING</t>
  </si>
  <si>
    <t>TEACHER JOB NETWORK</t>
  </si>
  <si>
    <t>FOOD SERVICE-NON-</t>
  </si>
  <si>
    <t xml:space="preserve">TELECOMMUNICATION </t>
  </si>
  <si>
    <t>THE WESTWOOD SCHOOL</t>
  </si>
  <si>
    <t>PORT-A-POTTY RENTAL</t>
  </si>
  <si>
    <t xml:space="preserve">CUSTODIAL/CAFETERIA </t>
  </si>
  <si>
    <t xml:space="preserve">WAXAHACHIE UNIT #13 </t>
  </si>
  <si>
    <t>CDW Government, Inc.</t>
  </si>
  <si>
    <t>420-11-6399.00-999-511000</t>
  </si>
  <si>
    <t>IT DEPT</t>
  </si>
  <si>
    <t>Dell Marketing L.P.</t>
  </si>
  <si>
    <t>IT DEPT-KBOX RENEWAL</t>
  </si>
  <si>
    <t>NCS Pearson, Inc.</t>
  </si>
  <si>
    <t>420-13-6399.00-001-511000</t>
  </si>
  <si>
    <t>PEARSON-TAMS</t>
  </si>
  <si>
    <t>420-13-6399.00-041-511000</t>
  </si>
  <si>
    <t>420-13-6399.00-101-511000</t>
  </si>
  <si>
    <t xml:space="preserve">ADVANCED ACADEMICS </t>
  </si>
  <si>
    <t xml:space="preserve">TITLE II REGIONAL COOP </t>
  </si>
  <si>
    <t>CISS COOPERATIVE 14/15</t>
  </si>
  <si>
    <t>Riverside Publishing Company</t>
  </si>
  <si>
    <t>ITBS BAR CODE LABELS</t>
  </si>
  <si>
    <t>General Supplies</t>
  </si>
  <si>
    <t>420-53-6399.00-999-599000</t>
  </si>
  <si>
    <t>REGISTRAR SUPPLIES</t>
  </si>
  <si>
    <t>TONER CARTRIDGE-WAX</t>
  </si>
  <si>
    <t>SUSAN AKIN</t>
  </si>
  <si>
    <t xml:space="preserve">CAFETERIA ACCOUNT FUND </t>
  </si>
  <si>
    <t>TECHRADIUM, INC.</t>
  </si>
  <si>
    <t xml:space="preserve">ANNUAL SOFTWARE </t>
  </si>
  <si>
    <t>WORKERS COMP SHARINGS-</t>
  </si>
  <si>
    <t xml:space="preserve">WESTERN-BRW PAPER CO, </t>
  </si>
  <si>
    <t>Teacher Copy Paper</t>
  </si>
  <si>
    <t>AMPLIFY EDUCATION, INC.</t>
  </si>
  <si>
    <t xml:space="preserve">MCLASS SOFTWARE </t>
  </si>
  <si>
    <t>QUANTITY ADJUSTMENT</t>
  </si>
  <si>
    <t>Home Depot Credit Services</t>
  </si>
  <si>
    <t xml:space="preserve">WAXAHACHIE MAINTENANCE </t>
  </si>
  <si>
    <t xml:space="preserve">WAXAHACHIE GENERAL </t>
  </si>
  <si>
    <t>Pearson Education Inc.</t>
  </si>
  <si>
    <t>211-11-6399.00-041-530000</t>
  </si>
  <si>
    <t>Classroom Material</t>
  </si>
  <si>
    <t>ITBS</t>
  </si>
  <si>
    <t>SALES TAX CHARGE REFUND</t>
  </si>
  <si>
    <t>BUS #2 FINAL PAYMENT</t>
  </si>
  <si>
    <t>211-11-6399.00-101-530000</t>
  </si>
  <si>
    <t>ELEMENTARY LIBRARIAN</t>
  </si>
  <si>
    <t>WAX KITCHEN BATHROOM-</t>
  </si>
  <si>
    <t xml:space="preserve">TAEA CONFERENCE, SAN </t>
  </si>
  <si>
    <t>420-11-6315.00-001-511000</t>
  </si>
  <si>
    <t xml:space="preserve">SCIENCE LAB STOOLS-SCH </t>
  </si>
  <si>
    <t>420-11-6315.00-041-511000</t>
  </si>
  <si>
    <t>WAXAHACHIE BINDERS-</t>
  </si>
  <si>
    <t>WAXAHACHIE BINDERS</t>
  </si>
  <si>
    <t xml:space="preserve">AMAZON-CLASSROOM </t>
  </si>
  <si>
    <t>TECH SUPPLIES-AMAZON</t>
  </si>
  <si>
    <t xml:space="preserve">WAX CONCESSION-HOME </t>
  </si>
  <si>
    <t xml:space="preserve">WAX CONCESSION-NAT </t>
  </si>
  <si>
    <t xml:space="preserve">WAX DOMES-ELLIOTT </t>
  </si>
  <si>
    <t>420-52-6399.00-999-599000</t>
  </si>
  <si>
    <t>Stop Signs and More</t>
  </si>
  <si>
    <t xml:space="preserve">SECURITY/TACTICAL </t>
  </si>
  <si>
    <t>420-53-6395.00-999-599000</t>
  </si>
  <si>
    <t xml:space="preserve">TECH SUPPLIES/TIGER </t>
  </si>
  <si>
    <t>EAI EDUCATION</t>
  </si>
  <si>
    <t xml:space="preserve">MIDDLE SCHOOL-MATH </t>
  </si>
  <si>
    <t xml:space="preserve">EVERY SEASON FAMILY </t>
  </si>
  <si>
    <t>CLASSROOM SUPPLIES</t>
  </si>
  <si>
    <t>FROG STREET PRESS</t>
  </si>
  <si>
    <t>410-11-6399.00-101-511000</t>
  </si>
  <si>
    <t>READING</t>
  </si>
  <si>
    <t xml:space="preserve">INSTRUCTIONAL MATERIALS </t>
  </si>
  <si>
    <t>GOMEZ &amp; COMPANY</t>
  </si>
  <si>
    <t>420-41-6212.00-750-599000</t>
  </si>
  <si>
    <t>AUDIT SERVICES</t>
  </si>
  <si>
    <t xml:space="preserve">HANDWRITING WITHOUT </t>
  </si>
  <si>
    <t>READING CURRICULUM</t>
  </si>
  <si>
    <t>CUSTODIAL SUPPLIES</t>
  </si>
  <si>
    <t xml:space="preserve">PAYLESS SHOESOURCE </t>
  </si>
  <si>
    <t>UNIFORMS-STAFF SHOES</t>
  </si>
  <si>
    <t xml:space="preserve">Region 12 Education Service </t>
  </si>
  <si>
    <t>420-53-6219.09-999-599000</t>
  </si>
  <si>
    <t xml:space="preserve">ERATE SERVICE CONTRACT </t>
  </si>
  <si>
    <t>Break room Supplies</t>
  </si>
  <si>
    <t>Classroom supplies</t>
  </si>
  <si>
    <t xml:space="preserve">UTA REGION II XC </t>
  </si>
  <si>
    <t xml:space="preserve">CROSS COUNTRY </t>
  </si>
  <si>
    <t xml:space="preserve">OCT DED HEALTH </t>
  </si>
  <si>
    <t xml:space="preserve">OCT DED MISCELLANEOUS </t>
  </si>
  <si>
    <t>ECAP, LTD</t>
  </si>
  <si>
    <t>420-00-2159.00-154-500000</t>
  </si>
  <si>
    <t>ECAP</t>
  </si>
  <si>
    <t>GWN SECURITIES, INC.</t>
  </si>
  <si>
    <t>420-00-2159.00-164-500000</t>
  </si>
  <si>
    <t>OCT DED TAX SHEL. ANNUITY</t>
  </si>
  <si>
    <t>GWN SECURITTIES</t>
  </si>
  <si>
    <t>240-35-6399.00-999-599000</t>
  </si>
  <si>
    <t>American Red Cross</t>
  </si>
  <si>
    <t>FIRST AID/CPR COURSE</t>
  </si>
  <si>
    <t>GEON CLEANING SYSTEM</t>
  </si>
  <si>
    <t xml:space="preserve">PARK MEADOW BAPTIST </t>
  </si>
  <si>
    <t>420-11-6269.00-001-511000</t>
  </si>
  <si>
    <t>2015 Graduation</t>
  </si>
  <si>
    <t>School Speciality</t>
  </si>
  <si>
    <t>Classroom Furniture</t>
  </si>
  <si>
    <t>420-11-6315.00-101-511000</t>
  </si>
  <si>
    <t xml:space="preserve">SOUTHWEST </t>
  </si>
  <si>
    <t>420-34-6249.00-999-599000</t>
  </si>
  <si>
    <t>2014 CE BUS OIL CHANGE</t>
  </si>
  <si>
    <t>420-00-2159.00-162-500000</t>
  </si>
  <si>
    <t xml:space="preserve">NOV DED INCOME </t>
  </si>
  <si>
    <t>AFLAC PRODUCTS</t>
  </si>
  <si>
    <t xml:space="preserve">ALL PRO MOVING &amp; </t>
  </si>
  <si>
    <t>FURNITURE MOVING</t>
  </si>
  <si>
    <t>G2 PLUMBING, LLC</t>
  </si>
  <si>
    <t xml:space="preserve">PLUMBING-CONCESSION </t>
  </si>
  <si>
    <t>WAXAHACHIE MAINTENANCE</t>
  </si>
  <si>
    <t xml:space="preserve">WAXAHACHIE CONCESSION </t>
  </si>
  <si>
    <t xml:space="preserve">WAXAHACHIE GEN </t>
  </si>
  <si>
    <t xml:space="preserve">WAXAHACHIE </t>
  </si>
  <si>
    <t>WAXAHACHIE DOMES</t>
  </si>
  <si>
    <t>WAXAHACHIE DOORS</t>
  </si>
  <si>
    <t>JULIE PHILLIPS</t>
  </si>
  <si>
    <t>Class Material</t>
  </si>
  <si>
    <t>NIMCO, INC.</t>
  </si>
  <si>
    <t>Red Ribbon Week</t>
  </si>
  <si>
    <t>Copy Paper</t>
  </si>
  <si>
    <t>ACCELERATE LEARNING</t>
  </si>
  <si>
    <t>CAMPUS/ 00001892</t>
  </si>
  <si>
    <t>Dick Blick</t>
  </si>
  <si>
    <t>420-11-6399.00-001-511022</t>
  </si>
  <si>
    <t>Art Supply</t>
  </si>
  <si>
    <t>420-11-6399.00-041-511022</t>
  </si>
  <si>
    <t>420-11-6399.00-101-511022</t>
  </si>
  <si>
    <t>Houghton Mifflin Company</t>
  </si>
  <si>
    <t>ASSESSMENT</t>
  </si>
  <si>
    <t>IDEX GLOBAL SERVICES</t>
  </si>
  <si>
    <t xml:space="preserve">INSTALL </t>
  </si>
  <si>
    <t>MARK GREENE</t>
  </si>
  <si>
    <t xml:space="preserve">REIMB-MILEAGE </t>
  </si>
  <si>
    <t>WRITING</t>
  </si>
  <si>
    <t>FUEL DISCOUNT</t>
  </si>
  <si>
    <t>INSURANCE INSTALLMENT</t>
  </si>
  <si>
    <t>RENTAL PORTABLE TOILET</t>
  </si>
  <si>
    <t>CAST 2014, DALLAS, TEXAS</t>
  </si>
  <si>
    <t>SCHOOL OUTFITTERS</t>
  </si>
  <si>
    <t>420-12-6399.00-999-599000</t>
  </si>
  <si>
    <t>LANDMARK EQUIPMENT, INC.</t>
  </si>
  <si>
    <t>JOEY'S SECURITY</t>
  </si>
  <si>
    <t>HOME DEPOT 6505-274591</t>
  </si>
  <si>
    <t>RDL SUPPLY</t>
  </si>
  <si>
    <t>FASTENAL</t>
  </si>
  <si>
    <t xml:space="preserve">NATIONAL WHOLESALE </t>
  </si>
  <si>
    <t>HOME DEPOT</t>
  </si>
  <si>
    <t>REFLECTIVE TAPE STORE</t>
  </si>
  <si>
    <t>METAL MART</t>
  </si>
  <si>
    <t>EAGLE NATIONAL STEEL</t>
  </si>
  <si>
    <t xml:space="preserve">LONGHORN BUILDING </t>
  </si>
  <si>
    <t>RDL</t>
  </si>
  <si>
    <t>ANCHOR FLAG &amp; POLE</t>
  </si>
  <si>
    <t>ELLIOTT ELECTRIC SUPPLY</t>
  </si>
  <si>
    <t xml:space="preserve">DEC DED HEALTH </t>
  </si>
  <si>
    <t xml:space="preserve">DEC DED MISCELLANEOUS </t>
  </si>
  <si>
    <t>DEC DED TAX SHEL. ANNUITY</t>
  </si>
  <si>
    <t xml:space="preserve">WAXAHACHIE TEMPERED </t>
  </si>
  <si>
    <t>UTILITIES-PHONE</t>
  </si>
  <si>
    <t xml:space="preserve">RENTALS-OPERATING </t>
  </si>
  <si>
    <t>BLUE BELL CREAMERIES</t>
  </si>
  <si>
    <t xml:space="preserve">COMMERCIAL FOOD SERVICE </t>
  </si>
  <si>
    <t>ETA/hand2mind</t>
  </si>
  <si>
    <t>Math Material</t>
  </si>
  <si>
    <t>COMMUNITY BULLETINS</t>
  </si>
  <si>
    <t>LEASE/RENTAL EQUIPMENT</t>
  </si>
  <si>
    <t xml:space="preserve">ELECTRICITY MONTHLY </t>
  </si>
  <si>
    <t>KILGO CONFERENCE</t>
  </si>
  <si>
    <t>EMPLOYEE SHOES</t>
  </si>
  <si>
    <t xml:space="preserve">SAFRAN MORPHO TRUST </t>
  </si>
  <si>
    <t>TXFPS/TXDPS/TXFBI/TXSBEC</t>
  </si>
  <si>
    <t xml:space="preserve">WATER MONTHLY </t>
  </si>
  <si>
    <t>BUS MAINTENANCE</t>
  </si>
  <si>
    <t>SYSCO FOOD SERVICE</t>
  </si>
  <si>
    <t>TASB</t>
  </si>
  <si>
    <t>TASB MEMBERSHIP FEE</t>
  </si>
  <si>
    <t>Cafeteria Supplies</t>
  </si>
  <si>
    <t>MAINT/UNIFORMS SUPPLIES</t>
  </si>
  <si>
    <t>BENCHMARK EDUCATION</t>
  </si>
  <si>
    <t>CAROLINA BIOLOGICAL</t>
  </si>
  <si>
    <t>BIOLOGY</t>
  </si>
  <si>
    <t>HUBBARD ISD</t>
  </si>
  <si>
    <t xml:space="preserve">BASKETBALL TOURNY-DEC </t>
  </si>
  <si>
    <t>JUSTIN BURNS</t>
  </si>
  <si>
    <t>TRAVEL EXP-TAEA</t>
  </si>
  <si>
    <t xml:space="preserve">LAKESHORE LEARNING </t>
  </si>
  <si>
    <t xml:space="preserve">DEPOSIT CORRECTION-GF </t>
  </si>
  <si>
    <t>BUS #4 PMT</t>
  </si>
  <si>
    <t xml:space="preserve">DEC DED INCOME </t>
  </si>
  <si>
    <t>FOOD SERVICE</t>
  </si>
  <si>
    <t>420-36-6412.00-001-591000</t>
  </si>
  <si>
    <t>VAN RENTAL ATHLETICS</t>
  </si>
  <si>
    <t>DAYMARK CORPORATION</t>
  </si>
  <si>
    <t>need gloves</t>
  </si>
  <si>
    <t xml:space="preserve">WAXAHACHIE FIRE SYSTEMS </t>
  </si>
  <si>
    <t>BASEBALL FIELD</t>
  </si>
  <si>
    <t>HIGH LINER FOODS</t>
  </si>
  <si>
    <t>WAX CONST/MAINT/REPAIRS</t>
  </si>
  <si>
    <t xml:space="preserve">WAXAHACHIE BBALL </t>
  </si>
  <si>
    <t xml:space="preserve">WAXAHACHIE BASEBALL </t>
  </si>
  <si>
    <t xml:space="preserve">WAXAHACHIE BASEBALL FLD </t>
  </si>
  <si>
    <t xml:space="preserve">WAXAHACHIE BBALL FIELD </t>
  </si>
  <si>
    <t xml:space="preserve">WAXAHACHIE WORK </t>
  </si>
  <si>
    <t>NORMA JACKSON</t>
  </si>
  <si>
    <t>Laminating Film</t>
  </si>
  <si>
    <t>SCHOOL SPECIALTY INC</t>
  </si>
  <si>
    <t>2012 BUS OIL CHANGE</t>
  </si>
  <si>
    <t xml:space="preserve">2012 INTERNATIONAL BUS </t>
  </si>
  <si>
    <t>WORKERS COMP</t>
  </si>
  <si>
    <t>OFFICE SUPPLIES/PRINTER</t>
  </si>
  <si>
    <t>244-11-6399.00-001-522000</t>
  </si>
  <si>
    <t>HSCTE-A/V/BESTBUY</t>
  </si>
  <si>
    <t>VOCATIONAL EDUCATION</t>
  </si>
  <si>
    <t xml:space="preserve">HSCTE-BUSINESS/JAMES </t>
  </si>
  <si>
    <t>WALMART.COM</t>
  </si>
  <si>
    <t>420-36-6399.00-001-591000</t>
  </si>
  <si>
    <t>CHEERLEADING COMPANY</t>
  </si>
  <si>
    <t xml:space="preserve">LONGHORN BLDG </t>
  </si>
  <si>
    <t>MAINT/OPER-CES</t>
  </si>
  <si>
    <t>HOME DEPOT REFUND</t>
  </si>
  <si>
    <t>PROFESSIONAL SERVICES</t>
  </si>
  <si>
    <t xml:space="preserve">ELLIOTT ELECTRIC SUPPLY, </t>
  </si>
  <si>
    <t>LASHANDA JONES SPED DIR</t>
  </si>
  <si>
    <t>SLIDELL ISD</t>
  </si>
  <si>
    <t>District Invoice</t>
  </si>
  <si>
    <t xml:space="preserve">2012 INTERNATIONAL CE S </t>
  </si>
  <si>
    <t>TEXAS VENTILATION</t>
  </si>
  <si>
    <t xml:space="preserve">SUPPLIES FOR MAINT &amp; </t>
  </si>
  <si>
    <t>Copy paper</t>
  </si>
  <si>
    <t>TREASURER OF VIRGINIA</t>
  </si>
  <si>
    <t>420-00-2159.00-165-500000</t>
  </si>
  <si>
    <t xml:space="preserve">TOURNAMENT </t>
  </si>
  <si>
    <t>ALARM MONITORING</t>
  </si>
  <si>
    <t>WAX CONCESSION/KITCHEN</t>
  </si>
  <si>
    <t>WAXAHACHIE KITCHEN</t>
  </si>
  <si>
    <t xml:space="preserve">JUDD, THOMAS, SMITH &amp; CO, </t>
  </si>
  <si>
    <t>AUDIT PREP</t>
  </si>
  <si>
    <t>UTILITIES-ELECTRICITY</t>
  </si>
  <si>
    <t>BUS REPAIRS</t>
  </si>
  <si>
    <t>211-11-6399.00-001-530000</t>
  </si>
  <si>
    <t>HS Teacher Book</t>
  </si>
  <si>
    <t xml:space="preserve">HSCTE-BUSINESS/CAREER </t>
  </si>
  <si>
    <t>CREDIT CARD FEE</t>
  </si>
  <si>
    <t>STEM SCOPES</t>
  </si>
  <si>
    <t xml:space="preserve">WAX BBALL FIELD </t>
  </si>
  <si>
    <t xml:space="preserve">WAX BASEBALL </t>
  </si>
  <si>
    <t>WAX BBALL CONCESSION</t>
  </si>
  <si>
    <t>WAX CONST/MAINT SUPPLIES</t>
  </si>
  <si>
    <t>REFUND ON DEPOSIT</t>
  </si>
  <si>
    <t>Instructional Material</t>
  </si>
  <si>
    <t>Teacher Material</t>
  </si>
  <si>
    <t xml:space="preserve">OVERHEAD DOOR COMPANY </t>
  </si>
  <si>
    <t>CONCESSION STAND</t>
  </si>
  <si>
    <t>READING ASSESSMENTS</t>
  </si>
  <si>
    <t>BUS FUEL</t>
  </si>
  <si>
    <t>BUS #4</t>
  </si>
  <si>
    <t>420-34-6523.00-999-599000</t>
  </si>
  <si>
    <t>Class Materials</t>
  </si>
  <si>
    <t xml:space="preserve">ACCEL IMAGING SYSTEMS, </t>
  </si>
  <si>
    <t>Copier Maintenance</t>
  </si>
  <si>
    <t>BARSCO</t>
  </si>
  <si>
    <t>WAX SERVER ROOM HVAC</t>
  </si>
  <si>
    <t>WAXAHACHIE ISS</t>
  </si>
  <si>
    <t>BLUE BELL CREAMERIES, LP</t>
  </si>
  <si>
    <t>COACHING FULL DAY</t>
  </si>
  <si>
    <t>CITY OF WAXAHACHIE</t>
  </si>
  <si>
    <t xml:space="preserve">CLAIMS ADMINISTRATION </t>
  </si>
  <si>
    <t>EL SABER ENTERPRISES</t>
  </si>
  <si>
    <t>KIMBERLY ADAMS</t>
  </si>
  <si>
    <t>OFFICIAL BASKETBALL</t>
  </si>
  <si>
    <t>KWIK KOPY PRINTING</t>
  </si>
  <si>
    <t>STAFF BUSINESS CARDS-</t>
  </si>
  <si>
    <t>PAMELA WEBER</t>
  </si>
  <si>
    <t>EVALUATION</t>
  </si>
  <si>
    <t xml:space="preserve">REGION 10 EDUCATION </t>
  </si>
  <si>
    <t>TRS 2014-2015</t>
  </si>
  <si>
    <t xml:space="preserve">RIVERSIDE PUBLISHING </t>
  </si>
  <si>
    <t>ITBS SPRING TESTING</t>
  </si>
  <si>
    <t>420-11-6339.00-001-511000</t>
  </si>
  <si>
    <t>Office Supply</t>
  </si>
  <si>
    <t>RETURNED MDSE</t>
  </si>
  <si>
    <t>TAMMY WILLIAMS</t>
  </si>
  <si>
    <t>TOTAL FIRE &amp; SAFETY, INC.</t>
  </si>
  <si>
    <t xml:space="preserve">WAXAHACHIE CAMERA </t>
  </si>
  <si>
    <t xml:space="preserve">JAN DED HEALTH </t>
  </si>
  <si>
    <t xml:space="preserve">JAN DED INCOME </t>
  </si>
  <si>
    <t xml:space="preserve">JAN DED MISCELLANEOUS </t>
  </si>
  <si>
    <t>JAN DED TAX SHEL. ANNUITY</t>
  </si>
  <si>
    <t>CAFE</t>
  </si>
  <si>
    <t>MARDEL</t>
  </si>
  <si>
    <t>OVERSTOCK.COM</t>
  </si>
  <si>
    <t xml:space="preserve">TASA CONFERENCE </t>
  </si>
  <si>
    <t>SCHOOL EXCESS</t>
  </si>
  <si>
    <t>SELECT SAFETY SALES</t>
  </si>
  <si>
    <t>DICK'S SPORTING GOODS</t>
  </si>
  <si>
    <t>CHEERLEADING CO REFUND</t>
  </si>
  <si>
    <t>420-36-6399.00-041-591000</t>
  </si>
  <si>
    <t>ELECTRICAL SURPLUS</t>
  </si>
  <si>
    <t>CES</t>
  </si>
  <si>
    <t>ECONOMY SUPPLY</t>
  </si>
  <si>
    <t>ANCHOR FLAG</t>
  </si>
  <si>
    <t>JAMIESON FENCE SUPPLY</t>
  </si>
  <si>
    <t>JAMIESON FENCE</t>
  </si>
  <si>
    <t xml:space="preserve">JAMIESON/HOME DEPOT </t>
  </si>
  <si>
    <t>WAXAHACHIE HVAC REPAIRS</t>
  </si>
  <si>
    <t xml:space="preserve">CURRICULUM ASSOCIATES, </t>
  </si>
  <si>
    <t>211-11-6399.00-101-530028</t>
  </si>
  <si>
    <t>FAIRFIELD GIRLS ATHLETICS</t>
  </si>
  <si>
    <t>JV Tournament</t>
  </si>
  <si>
    <t>HEINEMANN</t>
  </si>
  <si>
    <t>MARLIN LEASING CORP.</t>
  </si>
  <si>
    <t>PROPERTY TAX-COPIER</t>
  </si>
  <si>
    <t>DUAL CREDIT</t>
  </si>
  <si>
    <t xml:space="preserve">2012 INTERNATIONAL OIL </t>
  </si>
  <si>
    <t>AVAYA FINANCIAL SERVICES</t>
  </si>
  <si>
    <t>BILLBOARDS/MEDIA</t>
  </si>
  <si>
    <t>EXPENSE REIMBURSEMENT</t>
  </si>
  <si>
    <t>Workbook</t>
  </si>
  <si>
    <t>Student Material</t>
  </si>
  <si>
    <t>TEAM EXPRESS</t>
  </si>
  <si>
    <t>Basketball</t>
  </si>
  <si>
    <t xml:space="preserve">GN OTOMETRICS NORTH </t>
  </si>
  <si>
    <t>Nurse Office</t>
  </si>
  <si>
    <t>BILCO LOCK AND SAFE, INC.</t>
  </si>
  <si>
    <t>LOCK AND SAFE</t>
  </si>
  <si>
    <t>WAX GEN MAINT/ISS</t>
  </si>
  <si>
    <t>WAXAHACHIE WHITE BOARD</t>
  </si>
  <si>
    <t>TESTING</t>
  </si>
  <si>
    <t>Teacher Supplies</t>
  </si>
  <si>
    <t>CLASSROOM MATERIALS</t>
  </si>
  <si>
    <t>Computer Cleaning Supply</t>
  </si>
  <si>
    <t xml:space="preserve">BURSON AND WILLIAMS </t>
  </si>
  <si>
    <t>PORTABLES-PLANS</t>
  </si>
  <si>
    <t>COMPANION CORPORATION</t>
  </si>
  <si>
    <t>LIBRARY SOFTWARE</t>
  </si>
  <si>
    <t>EMBROIDME</t>
  </si>
  <si>
    <t>REF PO #2607</t>
  </si>
  <si>
    <t>ESTRELLITA</t>
  </si>
  <si>
    <t>263-11-6399.00-999-525000</t>
  </si>
  <si>
    <t>SLA</t>
  </si>
  <si>
    <t>360 TRAINING.COM</t>
  </si>
  <si>
    <t>CERTIFICATIONS</t>
  </si>
  <si>
    <t>PEARSON EDUCATION INC</t>
  </si>
  <si>
    <t>224-11-6399.00-999-523000</t>
  </si>
  <si>
    <t>Student Supply</t>
  </si>
  <si>
    <t xml:space="preserve">FEB DED HEALTH </t>
  </si>
  <si>
    <t xml:space="preserve">FEB DED INCOME </t>
  </si>
  <si>
    <t xml:space="preserve">FEB DED MISCELLANEOUS </t>
  </si>
  <si>
    <t>FEB DED TAX SHEL. ANNUITY</t>
  </si>
  <si>
    <t xml:space="preserve">TASA SPED LAW </t>
  </si>
  <si>
    <t xml:space="preserve">CEC 2015 CONFERENCE, SAN </t>
  </si>
  <si>
    <t>Office furniture</t>
  </si>
  <si>
    <t>CTCOHS</t>
  </si>
  <si>
    <t>CHARTER UNIFORMS</t>
  </si>
  <si>
    <t>STAPLES</t>
  </si>
  <si>
    <t>FRY'S</t>
  </si>
  <si>
    <t xml:space="preserve">ELECTRICAL SURPLUS OF </t>
  </si>
  <si>
    <t>MAINT-CES</t>
  </si>
  <si>
    <t>FED EX OFFICE</t>
  </si>
  <si>
    <t>DFW Gun Range</t>
  </si>
  <si>
    <t>BEVERLY S. WILSON</t>
  </si>
  <si>
    <t>DISCOUNT SCHOOL SUPPLY</t>
  </si>
  <si>
    <t>INSTRUCTIONAL MATERIALS</t>
  </si>
  <si>
    <t>PSAT/NMSQT</t>
  </si>
  <si>
    <t>420-13-6219.00-999-511000</t>
  </si>
  <si>
    <t>PSAT</t>
  </si>
  <si>
    <t xml:space="preserve">TEACHER CREATED </t>
  </si>
  <si>
    <t>COLORADO BOXED BEEF CO.</t>
  </si>
  <si>
    <t>LEARNING RESOURCES</t>
  </si>
  <si>
    <t>SLAR</t>
  </si>
  <si>
    <t xml:space="preserve">SARDIS LONE ELM WATER </t>
  </si>
  <si>
    <t>BUS PARTS</t>
  </si>
  <si>
    <t>STAMP/POSTERBOARD</t>
  </si>
  <si>
    <t xml:space="preserve">TEXAS DEPARTMENT OF </t>
  </si>
  <si>
    <t>APPLICATION FOR SECURITY</t>
  </si>
  <si>
    <t>REF PO#2414</t>
  </si>
  <si>
    <t>SMART CHOICE SERVICES</t>
  </si>
  <si>
    <t>Art Suppies</t>
  </si>
  <si>
    <t xml:space="preserve">MAR DED HEALTH </t>
  </si>
  <si>
    <t xml:space="preserve">MAR DED INCOME </t>
  </si>
  <si>
    <t xml:space="preserve">MAR DED MISCELLANEOUS </t>
  </si>
  <si>
    <t>MAR DED TAX SHEL. ANNUITY</t>
  </si>
  <si>
    <t>WAX CAFETERIA</t>
  </si>
  <si>
    <t>211-11-6219.00-101-530028</t>
  </si>
  <si>
    <t>TEXAS ASCD</t>
  </si>
  <si>
    <t>REGION 4 ONLINE STORE</t>
  </si>
  <si>
    <t>Xi TRADE Graphing Calculators</t>
  </si>
  <si>
    <t xml:space="preserve">TEACHER'S CURRICULUM </t>
  </si>
  <si>
    <t>SUPER SHUTTLE</t>
  </si>
  <si>
    <t>SOUTHWEST AIRLINES</t>
  </si>
  <si>
    <t>APPLE</t>
  </si>
  <si>
    <t>GEHL'S</t>
  </si>
  <si>
    <t>API-YBARRA</t>
  </si>
  <si>
    <t>API-MALDONADO</t>
  </si>
  <si>
    <t>API-AUDET</t>
  </si>
  <si>
    <t>UNITED ART &amp; EDUCATION</t>
  </si>
  <si>
    <t xml:space="preserve">NASN-NATL ASSN SCH </t>
  </si>
  <si>
    <t>WAXAHACHIE HVAC #7</t>
  </si>
  <si>
    <t>DELL MARKETING LP</t>
  </si>
  <si>
    <t>WAX MAINT/REPAIRS</t>
  </si>
  <si>
    <t>STAAR READY READING</t>
  </si>
  <si>
    <t xml:space="preserve">WHATABURGER VENTURES, </t>
  </si>
  <si>
    <t xml:space="preserve">ATHLETICS-BASKETBALL </t>
  </si>
  <si>
    <t>REIMB-BUS BULBS</t>
  </si>
  <si>
    <t>MCGRAW HILL EDUCATION</t>
  </si>
  <si>
    <t xml:space="preserve">HOSPITALITY/BUSINESS </t>
  </si>
  <si>
    <t>Supplies</t>
  </si>
  <si>
    <t>Classroom furniture</t>
  </si>
  <si>
    <t>AARON TOWNS</t>
  </si>
  <si>
    <t>GAME OFFICIAL-BASEBALL</t>
  </si>
  <si>
    <t>ARNOLD YGLECIAS</t>
  </si>
  <si>
    <t>WAX HVAC MAINT #7</t>
  </si>
  <si>
    <t>Art Supplies</t>
  </si>
  <si>
    <t>CAREY'S SPORTING GOODS</t>
  </si>
  <si>
    <t>Athletics / Softball</t>
  </si>
  <si>
    <t>CODY LOVELL</t>
  </si>
  <si>
    <t>WAX CONCESSION STAND</t>
  </si>
  <si>
    <t xml:space="preserve">WAXAHACHIE ELECTRICAL </t>
  </si>
  <si>
    <t>GREG FRENCH</t>
  </si>
  <si>
    <t>LARRY RABURN</t>
  </si>
  <si>
    <t>PAUL GARCIA</t>
  </si>
  <si>
    <t>GAME OFFICIAL-BASKETBALL</t>
  </si>
  <si>
    <t>RANDY DANIEL</t>
  </si>
  <si>
    <t>BUS INSPECTION</t>
  </si>
  <si>
    <t>Printer for Art</t>
  </si>
  <si>
    <t>WAXAHACHIE HVAC RM 10</t>
  </si>
  <si>
    <t>Classroom Supply</t>
  </si>
  <si>
    <t>EPIC SPORTS</t>
  </si>
  <si>
    <t>Epic Sports</t>
  </si>
  <si>
    <t>Hayes Software Systems</t>
  </si>
  <si>
    <t xml:space="preserve">SOFTWARE MAINTENANCE </t>
  </si>
  <si>
    <t>COSTCO</t>
  </si>
  <si>
    <t xml:space="preserve">HOME DEPOT-WAX </t>
  </si>
  <si>
    <t xml:space="preserve">NATIONAL WHOLESALE-WAX </t>
  </si>
  <si>
    <t xml:space="preserve">HOME DEPOT-WAX GEN </t>
  </si>
  <si>
    <t>NOT RECEIVED MDSE</t>
  </si>
  <si>
    <t>GAIL'S FLAGS</t>
  </si>
  <si>
    <t>Baseball / Softball</t>
  </si>
  <si>
    <t>GORDON WELCH</t>
  </si>
  <si>
    <t>WAX MAINTENANCE</t>
  </si>
  <si>
    <t>WAX HVAC REPAIRS</t>
  </si>
  <si>
    <t>WAX BASEBALL FIELD MAINT</t>
  </si>
  <si>
    <t>WAX DOME REPAIRS</t>
  </si>
  <si>
    <t>JACKIE VOLENTINE</t>
  </si>
  <si>
    <t>LEON LUEKEN, JR</t>
  </si>
  <si>
    <t>MAHIR BERKHADLEY</t>
  </si>
  <si>
    <t xml:space="preserve">OLMSTED-KIRK PAPER </t>
  </si>
  <si>
    <t xml:space="preserve">CAFETERIA CUSTODIAL </t>
  </si>
  <si>
    <t>240-35-6239.00-999-599000</t>
  </si>
  <si>
    <t>COOP FEE 14-15</t>
  </si>
  <si>
    <t>REGION XI</t>
  </si>
  <si>
    <t>420-53-6239.00-999-599000</t>
  </si>
  <si>
    <t xml:space="preserve">TXEIS MANAGMENT INFO </t>
  </si>
  <si>
    <t>ROBERT HODGE JR.</t>
  </si>
  <si>
    <t>ROBERT STEWARD</t>
  </si>
  <si>
    <t>TUMBLEWEED PRESS, INC.</t>
  </si>
  <si>
    <t>K-3 Books</t>
  </si>
  <si>
    <t xml:space="preserve">APR DED HEALTH </t>
  </si>
  <si>
    <t xml:space="preserve">APR DED INCOME </t>
  </si>
  <si>
    <t xml:space="preserve">APR DED MISCELLANEOUS </t>
  </si>
  <si>
    <t>APR DED TAX SHEL. ANNUITY</t>
  </si>
  <si>
    <t>LEASE RENEWAL</t>
  </si>
  <si>
    <t>BANITIA GREENLEE</t>
  </si>
  <si>
    <t>COSENZA &amp; ASSOCIATES</t>
  </si>
  <si>
    <t>STAAR MATH READINESS</t>
  </si>
  <si>
    <t>DIRECT SERVICE COMPANY</t>
  </si>
  <si>
    <t>CAFE-PLUMBING</t>
  </si>
  <si>
    <t>Diploma &amp; Covers</t>
  </si>
  <si>
    <t>PHILADELPHIA INC CO</t>
  </si>
  <si>
    <t>SANTILLANA USA</t>
  </si>
  <si>
    <t>WAXAHACHIE ROOM 10</t>
  </si>
  <si>
    <t>BLICK ART MATERIALS</t>
  </si>
  <si>
    <t>PO NUMBER 2689</t>
  </si>
  <si>
    <t xml:space="preserve">SYSCO FOOD SERVICES OF </t>
  </si>
  <si>
    <t>MHS/ NJHS</t>
  </si>
  <si>
    <t>BUS DOT INSPECTION</t>
  </si>
  <si>
    <t>THE BOOKSOURCE</t>
  </si>
  <si>
    <t>REGISTRAR'S SUPPLIES</t>
  </si>
  <si>
    <t>GRAINGER</t>
  </si>
  <si>
    <t>BELEIDA ROMERO</t>
  </si>
  <si>
    <t>NHS/NJHS Induction</t>
  </si>
  <si>
    <t>PAMELA MOORE COOPER</t>
  </si>
  <si>
    <t>REPLACE BROKEN GLASS</t>
  </si>
  <si>
    <t>HOMEBOUND SERVICES</t>
  </si>
  <si>
    <t>NAKOIA HALLEY</t>
  </si>
  <si>
    <t>EMPLOYEE REIMBURSEMENT</t>
  </si>
  <si>
    <t>PAMELA TAYLOR</t>
  </si>
  <si>
    <t>CEC 2015 SAN DIEGO, CA</t>
  </si>
  <si>
    <t>BASEBALL</t>
  </si>
  <si>
    <t>PO NUMBER 2683</t>
  </si>
  <si>
    <t>ITBS/LOGRAMOS BARCODES</t>
  </si>
  <si>
    <t xml:space="preserve">MAY DED HEALTH </t>
  </si>
  <si>
    <t xml:space="preserve">MAY DED INCOME </t>
  </si>
  <si>
    <t>METLIFE SBC</t>
  </si>
  <si>
    <t xml:space="preserve">MAY DED MISCELLANEOUS </t>
  </si>
  <si>
    <t>MAY DED TAX SHEL. ANNUITY</t>
  </si>
  <si>
    <t>SAN DIEGO MARRIOTT</t>
  </si>
  <si>
    <t>API TESTING-Z HENSON</t>
  </si>
  <si>
    <t>PROJECTOR LAMP SOURCE</t>
  </si>
  <si>
    <t>ACP DIRECT</t>
  </si>
  <si>
    <t>FINGER PRINT SERVICE-</t>
  </si>
  <si>
    <t>TX DPS-AUSTIN</t>
  </si>
  <si>
    <t>Safety Sign.com</t>
  </si>
  <si>
    <t xml:space="preserve">BENCHMARK EDUCATION </t>
  </si>
  <si>
    <t>Elem. Books</t>
  </si>
  <si>
    <t>COLORADO BOXED BEEF CO</t>
  </si>
  <si>
    <t>ON TIME DESIGNS</t>
  </si>
  <si>
    <t>Screen Printing</t>
  </si>
  <si>
    <t>Classroom Supplies</t>
  </si>
  <si>
    <t xml:space="preserve">Baylor Scott and White </t>
  </si>
  <si>
    <t>ADMINISTRATOR MEETING-</t>
  </si>
  <si>
    <t>TRAVEL EXP-BIL RECRUITING</t>
  </si>
  <si>
    <t>RAPTOR TECHNOLOGIES</t>
  </si>
  <si>
    <t>ANNUAL SOFTWARE ACCESS</t>
  </si>
  <si>
    <t xml:space="preserve">REGION XI-EDUCATION </t>
  </si>
  <si>
    <t>SECRETARY CONFERENCE</t>
  </si>
  <si>
    <t>ELECTRICAL</t>
  </si>
  <si>
    <t xml:space="preserve">FRONTLINE TECHNOLOGIES </t>
  </si>
  <si>
    <t>AESOP SYSTEM</t>
  </si>
  <si>
    <t>GRADUATION PROGRAMS</t>
  </si>
  <si>
    <t>CLEANING SUPPLIES</t>
  </si>
  <si>
    <t xml:space="preserve">SUMMIT INTEGRATION </t>
  </si>
  <si>
    <t>SPED</t>
  </si>
  <si>
    <t>DENISE DELGADO</t>
  </si>
  <si>
    <t xml:space="preserve">ACHIEVEMENT &amp; COGNITIVE </t>
  </si>
  <si>
    <t>ELA</t>
  </si>
  <si>
    <t xml:space="preserve">HOME DEPOT CREDIT </t>
  </si>
  <si>
    <t>WAX MAINT/CONSTRUCTION</t>
  </si>
  <si>
    <t>SHANNON HENKEL</t>
  </si>
  <si>
    <t>Reimbursement for Meals</t>
  </si>
  <si>
    <t>Reimbursement for mileage</t>
  </si>
  <si>
    <t>UTILITIES-PHONE-DATA</t>
  </si>
  <si>
    <t xml:space="preserve">JUN DED HEALTH </t>
  </si>
  <si>
    <t xml:space="preserve">JUN DED INCOME </t>
  </si>
  <si>
    <t xml:space="preserve">JUN DED MISCELLANEOUS </t>
  </si>
  <si>
    <t>JUN DED TAX SHEL. ANNUITY</t>
  </si>
  <si>
    <t>AMAZON.COM</t>
  </si>
  <si>
    <t>HONORS GRADUATION</t>
  </si>
  <si>
    <t>AT&amp;T DATA PLAN CHARGES</t>
  </si>
  <si>
    <t>BIG D PARTY RENTALS</t>
  </si>
  <si>
    <t>ITBS SCORING</t>
  </si>
  <si>
    <t>SCHOOLMINT</t>
  </si>
  <si>
    <t>STUDENT REGISTRATION</t>
  </si>
  <si>
    <t>Testing Supplies</t>
  </si>
  <si>
    <t>PHONE RENTAL</t>
  </si>
  <si>
    <t>STAAR Ready Practice</t>
  </si>
  <si>
    <t xml:space="preserve">FIRE SECURITY ALARM </t>
  </si>
  <si>
    <t xml:space="preserve">RENAISSANCE INSTITUTE, </t>
  </si>
  <si>
    <t>TECHNOLOGY AUDIT</t>
  </si>
  <si>
    <t>BANK OF NEW YORK MELLON</t>
  </si>
  <si>
    <t xml:space="preserve">ADMINISTRATIVE FEE AS </t>
  </si>
  <si>
    <t>EDLIO, INC</t>
  </si>
  <si>
    <t xml:space="preserve">4 MONTH CONTRACT </t>
  </si>
  <si>
    <t>GARDA CL SOUTHWEST, INC.</t>
  </si>
  <si>
    <t>ARMORED TRUCK SREVICE</t>
  </si>
  <si>
    <t xml:space="preserve">WAX </t>
  </si>
  <si>
    <t xml:space="preserve">NORTH TEXAS TOLLWAY </t>
  </si>
  <si>
    <t>TOLLWAY TRAVEL</t>
  </si>
  <si>
    <t xml:space="preserve">PITNEY BOWES GLOBAL </t>
  </si>
  <si>
    <t>POSTAGE METER SYSTEM</t>
  </si>
  <si>
    <t xml:space="preserve">WALSH GALLEGOS TREVINO </t>
  </si>
  <si>
    <t>420-41-6211.00-750-599000</t>
  </si>
  <si>
    <t>LEGAL SERVICES</t>
  </si>
  <si>
    <t>API Testing</t>
  </si>
  <si>
    <t>DEMCO</t>
  </si>
  <si>
    <t>HILTON GARDEN INN</t>
  </si>
  <si>
    <t>Magnum Electronic Inc.</t>
  </si>
  <si>
    <t>NES</t>
  </si>
  <si>
    <t>CREDIT</t>
  </si>
  <si>
    <t xml:space="preserve">REFUND ITEM 12SHEET </t>
  </si>
  <si>
    <t>JUL DED HEALTH INSURANCE</t>
  </si>
  <si>
    <t xml:space="preserve">JUL DED INCOME </t>
  </si>
  <si>
    <t xml:space="preserve">JUL DED MISCELLANEOUS </t>
  </si>
  <si>
    <t>JUL DED TAX SHEL. ANNUITY</t>
  </si>
  <si>
    <t xml:space="preserve">REIMB: BUS WASH-DALLAS </t>
  </si>
  <si>
    <t xml:space="preserve">CATALYST FOR CHANGE, </t>
  </si>
  <si>
    <t>CONVOCATION SPEAKER</t>
  </si>
  <si>
    <t>FIRST YEAR PEIMS SUPPORT</t>
  </si>
  <si>
    <t>WINDSTREAM</t>
  </si>
  <si>
    <t>EXPERT PAY</t>
  </si>
  <si>
    <t>420-00-2159.00-007-500000</t>
  </si>
  <si>
    <t xml:space="preserve">JAN WIRE MISCELLANEOUS </t>
  </si>
  <si>
    <t>CHILD SUPPORT</t>
  </si>
  <si>
    <t xml:space="preserve">MAR WIRE MISCELLANEOUS </t>
  </si>
  <si>
    <t xml:space="preserve">APR WIRE MISCELLANEOUS </t>
  </si>
  <si>
    <t xml:space="preserve">MAY WIRE MISCELLANEOUS </t>
  </si>
  <si>
    <t xml:space="preserve">JUN WIRE MISCELLANEOUS </t>
  </si>
  <si>
    <t xml:space="preserve">JUL WIRE MISCELLANEOUS </t>
  </si>
  <si>
    <t xml:space="preserve">SEP WIRE MISCELLANEOUS </t>
  </si>
  <si>
    <t xml:space="preserve">OCT WIRE MISCELLANEOUS </t>
  </si>
  <si>
    <t xml:space="preserve">DEC WIRE MISCELLANEOUS </t>
  </si>
  <si>
    <t>IRS</t>
  </si>
  <si>
    <t>420-00-2151.00-000-500000</t>
  </si>
  <si>
    <t xml:space="preserve">JAN WIRE FINANCE </t>
  </si>
  <si>
    <t>420-00-2152.01-000-500000</t>
  </si>
  <si>
    <t>420-00-2152.02-000-500000</t>
  </si>
  <si>
    <t xml:space="preserve">FEB WIRE FINANCE </t>
  </si>
  <si>
    <t xml:space="preserve">MAR WIRE FINANCE </t>
  </si>
  <si>
    <t xml:space="preserve">APR WIRE FINANCE </t>
  </si>
  <si>
    <t xml:space="preserve">MAY WIRE FINANCE </t>
  </si>
  <si>
    <t xml:space="preserve">JUN WIRE FINANCE </t>
  </si>
  <si>
    <t xml:space="preserve">JUL WIRE FINANCE </t>
  </si>
  <si>
    <t xml:space="preserve">SEP WIRE FINANCE </t>
  </si>
  <si>
    <t xml:space="preserve">OCT WIRE FINANCE </t>
  </si>
  <si>
    <t xml:space="preserve">NOV WIRE FINANCE </t>
  </si>
  <si>
    <t xml:space="preserve">DEC WIRE FINANCE </t>
  </si>
  <si>
    <t>420-00-2153.00-010-500000</t>
  </si>
  <si>
    <t>JAN WIRE TEA CONTRIB</t>
  </si>
  <si>
    <t>TRS ACTIVECARE 1 HD</t>
  </si>
  <si>
    <t>420-00-2153.00-011-500000</t>
  </si>
  <si>
    <t>TRS ACTIVE CARE 1</t>
  </si>
  <si>
    <t>420-00-2153.00-012-500000</t>
  </si>
  <si>
    <t>TRS ACTIVE CARE 2</t>
  </si>
  <si>
    <t>420-00-2155.00-000-500000</t>
  </si>
  <si>
    <t>420-00-2155.01-000-500000</t>
  </si>
  <si>
    <t>420-00-2155.03-000-500000</t>
  </si>
  <si>
    <t>420-00-2155.04-000-500000</t>
  </si>
  <si>
    <t>420-00-2155.05-000-500000</t>
  </si>
  <si>
    <t>420-00-2155.06-000-500000</t>
  </si>
  <si>
    <t>420-00-2155.08-000-500000</t>
  </si>
  <si>
    <t>FEB WIRE TEA CONTRIB</t>
  </si>
  <si>
    <t>MAR WIRE TEA CONTRIB</t>
  </si>
  <si>
    <t>APR WIRE TEA CONTRIB</t>
  </si>
  <si>
    <t>MAY WIRE TEA CONTRIB</t>
  </si>
  <si>
    <t>JUN WIRE TEA CONTRIB</t>
  </si>
  <si>
    <t>JUL WIRE TEA CONTRIB</t>
  </si>
  <si>
    <t>SEP WIRE TEA CONTRIB</t>
  </si>
  <si>
    <t>OCT WIRE TEA CONTRIB</t>
  </si>
  <si>
    <t>NOV WIRE TEA CONTRIB</t>
  </si>
  <si>
    <t>DEC WIRE TEA CONTRIB</t>
  </si>
  <si>
    <t>Texas Workforce Commission</t>
  </si>
  <si>
    <t>420-00-2158.02-000-500000</t>
  </si>
  <si>
    <t xml:space="preserve">TEXAS WORKFORCE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</si>
</sst>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5"/>
  <sheetViews>
    <sheetView tabSelected="1" workbookViewId="0"/>
  </sheetViews>
  <sheetFormatPr defaultRowHeight="15" x14ac:dyDescent="0.25"/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5">
      <c r="A2">
        <v>5</v>
      </c>
      <c r="B2">
        <v>865</v>
      </c>
      <c r="C2" t="str">
        <f t="shared" ref="C2:C33" si="0">"00"</f>
        <v>00</v>
      </c>
      <c r="D2">
        <v>2190</v>
      </c>
      <c r="E2" t="str">
        <f>"21"</f>
        <v>21</v>
      </c>
      <c r="F2" t="str">
        <f t="shared" ref="F2:F33" si="1">"000"</f>
        <v>000</v>
      </c>
      <c r="G2">
        <v>5</v>
      </c>
      <c r="H2" t="str">
        <f t="shared" ref="H2:H33" si="2">"00"</f>
        <v>00</v>
      </c>
      <c r="I2" t="str">
        <f t="shared" ref="I2:I65" si="3">"0"</f>
        <v>0</v>
      </c>
      <c r="J2" t="str">
        <f t="shared" ref="J2:J33" si="4">"00"</f>
        <v>00</v>
      </c>
      <c r="K2">
        <v>20140926</v>
      </c>
      <c r="L2" t="str">
        <f>"002128"</f>
        <v>002128</v>
      </c>
      <c r="M2" t="str">
        <f>"00778"</f>
        <v>00778</v>
      </c>
      <c r="N2" t="s">
        <v>32</v>
      </c>
      <c r="O2">
        <v>631.5</v>
      </c>
      <c r="Q2" t="s">
        <v>33</v>
      </c>
      <c r="R2" t="s">
        <v>34</v>
      </c>
      <c r="S2" t="s">
        <v>35</v>
      </c>
      <c r="T2" t="s">
        <v>35</v>
      </c>
      <c r="U2" t="s">
        <v>34</v>
      </c>
      <c r="V2" t="str">
        <f>""</f>
        <v/>
      </c>
      <c r="W2">
        <v>20140926</v>
      </c>
      <c r="X2" t="s">
        <v>36</v>
      </c>
      <c r="Y2" t="s">
        <v>37</v>
      </c>
      <c r="Z2" t="s">
        <v>37</v>
      </c>
      <c r="AA2">
        <v>0</v>
      </c>
      <c r="AB2" t="s">
        <v>38</v>
      </c>
      <c r="AC2" t="s">
        <v>39</v>
      </c>
      <c r="AD2" t="s">
        <v>40</v>
      </c>
      <c r="AE2" t="str">
        <f>"09"</f>
        <v>09</v>
      </c>
      <c r="AF2" t="s">
        <v>40</v>
      </c>
    </row>
    <row r="3" spans="1:32" x14ac:dyDescent="0.25">
      <c r="A3">
        <v>5</v>
      </c>
      <c r="B3">
        <v>865</v>
      </c>
      <c r="C3" t="str">
        <f t="shared" si="0"/>
        <v>00</v>
      </c>
      <c r="D3">
        <v>2171</v>
      </c>
      <c r="E3" t="str">
        <f>"00"</f>
        <v>00</v>
      </c>
      <c r="F3" t="str">
        <f t="shared" si="1"/>
        <v>000</v>
      </c>
      <c r="G3">
        <v>5</v>
      </c>
      <c r="H3" t="str">
        <f t="shared" si="2"/>
        <v>00</v>
      </c>
      <c r="I3" t="str">
        <f t="shared" si="3"/>
        <v>0</v>
      </c>
      <c r="J3" t="str">
        <f t="shared" si="4"/>
        <v>00</v>
      </c>
      <c r="K3">
        <v>20141009</v>
      </c>
      <c r="L3" t="str">
        <f>"002130"</f>
        <v>002130</v>
      </c>
      <c r="M3" t="str">
        <f>"00444"</f>
        <v>00444</v>
      </c>
      <c r="N3" t="s">
        <v>41</v>
      </c>
      <c r="O3">
        <v>165</v>
      </c>
      <c r="Q3" t="s">
        <v>33</v>
      </c>
      <c r="R3" t="s">
        <v>34</v>
      </c>
      <c r="S3" t="s">
        <v>35</v>
      </c>
      <c r="T3" t="s">
        <v>35</v>
      </c>
      <c r="U3" t="s">
        <v>34</v>
      </c>
      <c r="V3" t="str">
        <f>""</f>
        <v/>
      </c>
      <c r="W3">
        <v>20141008</v>
      </c>
      <c r="X3" t="s">
        <v>42</v>
      </c>
      <c r="Y3" t="s">
        <v>43</v>
      </c>
      <c r="Z3" t="s">
        <v>43</v>
      </c>
      <c r="AA3">
        <v>0</v>
      </c>
      <c r="AB3" t="s">
        <v>38</v>
      </c>
      <c r="AC3" t="s">
        <v>39</v>
      </c>
      <c r="AD3" t="s">
        <v>40</v>
      </c>
      <c r="AE3" t="str">
        <f>"10"</f>
        <v>10</v>
      </c>
      <c r="AF3" t="s">
        <v>40</v>
      </c>
    </row>
    <row r="4" spans="1:32" x14ac:dyDescent="0.25">
      <c r="A4">
        <v>5</v>
      </c>
      <c r="B4">
        <v>865</v>
      </c>
      <c r="C4" t="str">
        <f t="shared" si="0"/>
        <v>00</v>
      </c>
      <c r="D4">
        <v>2190</v>
      </c>
      <c r="E4" t="str">
        <f>"49"</f>
        <v>49</v>
      </c>
      <c r="F4" t="str">
        <f t="shared" si="1"/>
        <v>000</v>
      </c>
      <c r="G4">
        <v>5</v>
      </c>
      <c r="H4" t="str">
        <f t="shared" si="2"/>
        <v>00</v>
      </c>
      <c r="I4" t="str">
        <f t="shared" si="3"/>
        <v>0</v>
      </c>
      <c r="J4" t="str">
        <f t="shared" si="4"/>
        <v>00</v>
      </c>
      <c r="K4">
        <v>20141030</v>
      </c>
      <c r="L4" t="str">
        <f>"002131"</f>
        <v>002131</v>
      </c>
      <c r="M4" t="str">
        <f>"00015"</f>
        <v>00015</v>
      </c>
      <c r="N4" t="s">
        <v>44</v>
      </c>
      <c r="O4">
        <v>82.5</v>
      </c>
      <c r="Q4" t="s">
        <v>33</v>
      </c>
      <c r="R4" t="s">
        <v>34</v>
      </c>
      <c r="S4" t="s">
        <v>35</v>
      </c>
      <c r="T4" t="s">
        <v>35</v>
      </c>
      <c r="U4" t="s">
        <v>34</v>
      </c>
      <c r="V4" t="str">
        <f>""</f>
        <v/>
      </c>
      <c r="W4">
        <v>20141024</v>
      </c>
      <c r="X4" t="s">
        <v>45</v>
      </c>
      <c r="Y4" t="s">
        <v>46</v>
      </c>
      <c r="Z4" t="s">
        <v>46</v>
      </c>
      <c r="AA4">
        <v>0</v>
      </c>
      <c r="AB4" t="s">
        <v>38</v>
      </c>
      <c r="AC4" t="s">
        <v>39</v>
      </c>
      <c r="AD4" t="s">
        <v>40</v>
      </c>
      <c r="AE4" t="str">
        <f>"10"</f>
        <v>10</v>
      </c>
      <c r="AF4" t="s">
        <v>40</v>
      </c>
    </row>
    <row r="5" spans="1:32" x14ac:dyDescent="0.25">
      <c r="A5">
        <v>5</v>
      </c>
      <c r="B5">
        <v>865</v>
      </c>
      <c r="C5" t="str">
        <f t="shared" si="0"/>
        <v>00</v>
      </c>
      <c r="D5">
        <v>2190</v>
      </c>
      <c r="E5" t="str">
        <f>"37"</f>
        <v>37</v>
      </c>
      <c r="F5" t="str">
        <f t="shared" si="1"/>
        <v>000</v>
      </c>
      <c r="G5">
        <v>5</v>
      </c>
      <c r="H5" t="str">
        <f t="shared" si="2"/>
        <v>00</v>
      </c>
      <c r="I5" t="str">
        <f t="shared" si="3"/>
        <v>0</v>
      </c>
      <c r="J5" t="str">
        <f t="shared" si="4"/>
        <v>00</v>
      </c>
      <c r="K5">
        <v>20141030</v>
      </c>
      <c r="L5" t="str">
        <f>"002132"</f>
        <v>002132</v>
      </c>
      <c r="M5" t="str">
        <f>"00792"</f>
        <v>00792</v>
      </c>
      <c r="N5" t="s">
        <v>47</v>
      </c>
      <c r="O5">
        <v>18.989999999999998</v>
      </c>
      <c r="Q5" t="s">
        <v>33</v>
      </c>
      <c r="R5" t="s">
        <v>34</v>
      </c>
      <c r="S5" t="s">
        <v>35</v>
      </c>
      <c r="T5" t="s">
        <v>35</v>
      </c>
      <c r="U5" t="s">
        <v>34</v>
      </c>
      <c r="V5" t="str">
        <f>""</f>
        <v/>
      </c>
      <c r="W5">
        <v>20141029</v>
      </c>
      <c r="X5" t="s">
        <v>48</v>
      </c>
      <c r="Y5" t="s">
        <v>49</v>
      </c>
      <c r="Z5" t="s">
        <v>49</v>
      </c>
      <c r="AA5">
        <v>0</v>
      </c>
      <c r="AB5" t="s">
        <v>38</v>
      </c>
      <c r="AC5" t="s">
        <v>39</v>
      </c>
      <c r="AD5" t="s">
        <v>40</v>
      </c>
      <c r="AE5" t="str">
        <f>"10"</f>
        <v>10</v>
      </c>
      <c r="AF5" t="s">
        <v>40</v>
      </c>
    </row>
    <row r="6" spans="1:32" x14ac:dyDescent="0.25">
      <c r="A6">
        <v>5</v>
      </c>
      <c r="B6">
        <v>865</v>
      </c>
      <c r="C6" t="str">
        <f t="shared" si="0"/>
        <v>00</v>
      </c>
      <c r="D6">
        <v>2190</v>
      </c>
      <c r="E6" t="str">
        <f>"21"</f>
        <v>21</v>
      </c>
      <c r="F6" t="str">
        <f t="shared" si="1"/>
        <v>000</v>
      </c>
      <c r="G6">
        <v>5</v>
      </c>
      <c r="H6" t="str">
        <f t="shared" si="2"/>
        <v>00</v>
      </c>
      <c r="I6" t="str">
        <f t="shared" si="3"/>
        <v>0</v>
      </c>
      <c r="J6" t="str">
        <f t="shared" si="4"/>
        <v>00</v>
      </c>
      <c r="K6">
        <v>20141113</v>
      </c>
      <c r="L6" t="str">
        <f>"002133"</f>
        <v>002133</v>
      </c>
      <c r="M6" t="str">
        <f>"00798"</f>
        <v>00798</v>
      </c>
      <c r="N6" t="s">
        <v>50</v>
      </c>
      <c r="O6">
        <v>80</v>
      </c>
      <c r="Q6" t="s">
        <v>33</v>
      </c>
      <c r="R6" t="s">
        <v>34</v>
      </c>
      <c r="S6" t="s">
        <v>35</v>
      </c>
      <c r="T6" t="s">
        <v>35</v>
      </c>
      <c r="U6" t="s">
        <v>34</v>
      </c>
      <c r="V6" t="str">
        <f>""</f>
        <v/>
      </c>
      <c r="W6">
        <v>20141112</v>
      </c>
      <c r="X6" t="s">
        <v>36</v>
      </c>
      <c r="Y6" t="s">
        <v>51</v>
      </c>
      <c r="Z6" t="s">
        <v>51</v>
      </c>
      <c r="AA6">
        <v>0</v>
      </c>
      <c r="AB6" t="s">
        <v>38</v>
      </c>
      <c r="AC6" t="s">
        <v>39</v>
      </c>
      <c r="AD6" t="s">
        <v>40</v>
      </c>
      <c r="AE6" t="str">
        <f t="shared" ref="AE6:AE11" si="5">"11"</f>
        <v>11</v>
      </c>
      <c r="AF6" t="s">
        <v>40</v>
      </c>
    </row>
    <row r="7" spans="1:32" x14ac:dyDescent="0.25">
      <c r="A7">
        <v>5</v>
      </c>
      <c r="B7">
        <v>865</v>
      </c>
      <c r="C7" t="str">
        <f t="shared" si="0"/>
        <v>00</v>
      </c>
      <c r="D7">
        <v>2190</v>
      </c>
      <c r="E7" t="str">
        <f>"21"</f>
        <v>21</v>
      </c>
      <c r="F7" t="str">
        <f t="shared" si="1"/>
        <v>000</v>
      </c>
      <c r="G7">
        <v>5</v>
      </c>
      <c r="H7" t="str">
        <f t="shared" si="2"/>
        <v>00</v>
      </c>
      <c r="I7" t="str">
        <f t="shared" si="3"/>
        <v>0</v>
      </c>
      <c r="J7" t="str">
        <f t="shared" si="4"/>
        <v>00</v>
      </c>
      <c r="K7">
        <v>20141113</v>
      </c>
      <c r="L7" t="str">
        <f>"002134"</f>
        <v>002134</v>
      </c>
      <c r="M7" t="str">
        <f>"00762"</f>
        <v>00762</v>
      </c>
      <c r="N7" t="s">
        <v>52</v>
      </c>
      <c r="O7">
        <v>150</v>
      </c>
      <c r="Q7" t="s">
        <v>33</v>
      </c>
      <c r="R7" t="s">
        <v>34</v>
      </c>
      <c r="S7" t="s">
        <v>35</v>
      </c>
      <c r="T7" t="s">
        <v>35</v>
      </c>
      <c r="U7" t="s">
        <v>34</v>
      </c>
      <c r="V7" t="str">
        <f>""</f>
        <v/>
      </c>
      <c r="W7">
        <v>20141112</v>
      </c>
      <c r="X7" t="s">
        <v>36</v>
      </c>
      <c r="Y7" t="s">
        <v>53</v>
      </c>
      <c r="Z7" t="s">
        <v>53</v>
      </c>
      <c r="AA7">
        <v>0</v>
      </c>
      <c r="AB7" t="s">
        <v>38</v>
      </c>
      <c r="AC7" t="s">
        <v>39</v>
      </c>
      <c r="AD7" t="s">
        <v>40</v>
      </c>
      <c r="AE7" t="str">
        <f t="shared" si="5"/>
        <v>11</v>
      </c>
      <c r="AF7" t="s">
        <v>40</v>
      </c>
    </row>
    <row r="8" spans="1:32" x14ac:dyDescent="0.25">
      <c r="A8">
        <v>5</v>
      </c>
      <c r="B8">
        <v>865</v>
      </c>
      <c r="C8" t="str">
        <f t="shared" si="0"/>
        <v>00</v>
      </c>
      <c r="D8">
        <v>2190</v>
      </c>
      <c r="E8" t="str">
        <f>"26"</f>
        <v>26</v>
      </c>
      <c r="F8" t="str">
        <f t="shared" si="1"/>
        <v>000</v>
      </c>
      <c r="G8">
        <v>5</v>
      </c>
      <c r="H8" t="str">
        <f t="shared" si="2"/>
        <v>00</v>
      </c>
      <c r="I8" t="str">
        <f t="shared" si="3"/>
        <v>0</v>
      </c>
      <c r="J8" t="str">
        <f t="shared" si="4"/>
        <v>00</v>
      </c>
      <c r="K8">
        <v>20141113</v>
      </c>
      <c r="L8" t="str">
        <f>"002135"</f>
        <v>002135</v>
      </c>
      <c r="M8" t="str">
        <f>"00444"</f>
        <v>00444</v>
      </c>
      <c r="N8" t="s">
        <v>41</v>
      </c>
      <c r="O8">
        <v>45</v>
      </c>
      <c r="Q8" t="s">
        <v>33</v>
      </c>
      <c r="R8" t="s">
        <v>34</v>
      </c>
      <c r="S8" t="s">
        <v>35</v>
      </c>
      <c r="T8" t="s">
        <v>35</v>
      </c>
      <c r="U8" t="s">
        <v>34</v>
      </c>
      <c r="V8" t="str">
        <f>""</f>
        <v/>
      </c>
      <c r="W8">
        <v>20141112</v>
      </c>
      <c r="X8" t="s">
        <v>54</v>
      </c>
      <c r="Y8" t="s">
        <v>55</v>
      </c>
      <c r="Z8" t="s">
        <v>55</v>
      </c>
      <c r="AA8">
        <v>0</v>
      </c>
      <c r="AB8" t="s">
        <v>38</v>
      </c>
      <c r="AC8" t="s">
        <v>39</v>
      </c>
      <c r="AD8" t="s">
        <v>40</v>
      </c>
      <c r="AE8" t="str">
        <f t="shared" si="5"/>
        <v>11</v>
      </c>
      <c r="AF8" t="s">
        <v>40</v>
      </c>
    </row>
    <row r="9" spans="1:32" x14ac:dyDescent="0.25">
      <c r="A9">
        <v>5</v>
      </c>
      <c r="B9">
        <v>865</v>
      </c>
      <c r="C9" t="str">
        <f t="shared" si="0"/>
        <v>00</v>
      </c>
      <c r="D9">
        <v>2190</v>
      </c>
      <c r="E9" t="str">
        <f>"21"</f>
        <v>21</v>
      </c>
      <c r="F9" t="str">
        <f t="shared" si="1"/>
        <v>000</v>
      </c>
      <c r="G9">
        <v>5</v>
      </c>
      <c r="H9" t="str">
        <f t="shared" si="2"/>
        <v>00</v>
      </c>
      <c r="I9" t="str">
        <f t="shared" si="3"/>
        <v>0</v>
      </c>
      <c r="J9" t="str">
        <f t="shared" si="4"/>
        <v>00</v>
      </c>
      <c r="K9">
        <v>20141118</v>
      </c>
      <c r="L9" t="str">
        <f>"002136"</f>
        <v>002136</v>
      </c>
      <c r="M9" t="str">
        <f>"00474"</f>
        <v>00474</v>
      </c>
      <c r="N9" t="s">
        <v>56</v>
      </c>
      <c r="O9">
        <v>19.100000000000001</v>
      </c>
      <c r="Q9" t="s">
        <v>33</v>
      </c>
      <c r="R9" t="s">
        <v>34</v>
      </c>
      <c r="S9" t="s">
        <v>35</v>
      </c>
      <c r="T9" t="s">
        <v>35</v>
      </c>
      <c r="U9" t="s">
        <v>34</v>
      </c>
      <c r="V9" t="str">
        <f>""</f>
        <v/>
      </c>
      <c r="W9">
        <v>20141118</v>
      </c>
      <c r="X9" t="s">
        <v>36</v>
      </c>
      <c r="Y9" t="s">
        <v>57</v>
      </c>
      <c r="Z9" t="s">
        <v>57</v>
      </c>
      <c r="AA9">
        <v>0</v>
      </c>
      <c r="AB9" t="s">
        <v>38</v>
      </c>
      <c r="AC9" t="s">
        <v>39</v>
      </c>
      <c r="AD9" t="s">
        <v>40</v>
      </c>
      <c r="AE9" t="str">
        <f t="shared" si="5"/>
        <v>11</v>
      </c>
      <c r="AF9" t="s">
        <v>40</v>
      </c>
    </row>
    <row r="10" spans="1:32" x14ac:dyDescent="0.25">
      <c r="A10">
        <v>5</v>
      </c>
      <c r="B10">
        <v>865</v>
      </c>
      <c r="C10" t="str">
        <f t="shared" si="0"/>
        <v>00</v>
      </c>
      <c r="D10">
        <v>2190</v>
      </c>
      <c r="E10" t="str">
        <f>"21"</f>
        <v>21</v>
      </c>
      <c r="F10" t="str">
        <f t="shared" si="1"/>
        <v>000</v>
      </c>
      <c r="G10">
        <v>5</v>
      </c>
      <c r="H10" t="str">
        <f t="shared" si="2"/>
        <v>00</v>
      </c>
      <c r="I10" t="str">
        <f t="shared" si="3"/>
        <v>0</v>
      </c>
      <c r="J10" t="str">
        <f t="shared" si="4"/>
        <v>00</v>
      </c>
      <c r="K10">
        <v>20141125</v>
      </c>
      <c r="L10" t="str">
        <f>"002137"</f>
        <v>002137</v>
      </c>
      <c r="M10" t="str">
        <f>"00015"</f>
        <v>00015</v>
      </c>
      <c r="N10" t="s">
        <v>44</v>
      </c>
      <c r="O10">
        <v>396</v>
      </c>
      <c r="Q10" t="s">
        <v>33</v>
      </c>
      <c r="R10" t="s">
        <v>34</v>
      </c>
      <c r="S10" t="s">
        <v>35</v>
      </c>
      <c r="T10" t="s">
        <v>35</v>
      </c>
      <c r="U10" t="s">
        <v>34</v>
      </c>
      <c r="V10" t="str">
        <f>""</f>
        <v/>
      </c>
      <c r="W10">
        <v>20141120</v>
      </c>
      <c r="X10" t="s">
        <v>36</v>
      </c>
      <c r="Y10" t="s">
        <v>58</v>
      </c>
      <c r="Z10" t="s">
        <v>58</v>
      </c>
      <c r="AA10">
        <v>0</v>
      </c>
      <c r="AB10" t="s">
        <v>38</v>
      </c>
      <c r="AC10" t="s">
        <v>39</v>
      </c>
      <c r="AD10" t="s">
        <v>40</v>
      </c>
      <c r="AE10" t="str">
        <f t="shared" si="5"/>
        <v>11</v>
      </c>
      <c r="AF10" t="s">
        <v>40</v>
      </c>
    </row>
    <row r="11" spans="1:32" x14ac:dyDescent="0.25">
      <c r="A11">
        <v>5</v>
      </c>
      <c r="B11">
        <v>865</v>
      </c>
      <c r="C11" t="str">
        <f t="shared" si="0"/>
        <v>00</v>
      </c>
      <c r="D11">
        <v>2190</v>
      </c>
      <c r="E11" t="str">
        <f>"26"</f>
        <v>26</v>
      </c>
      <c r="F11" t="str">
        <f t="shared" si="1"/>
        <v>000</v>
      </c>
      <c r="G11">
        <v>5</v>
      </c>
      <c r="H11" t="str">
        <f t="shared" si="2"/>
        <v>00</v>
      </c>
      <c r="I11" t="str">
        <f t="shared" si="3"/>
        <v>0</v>
      </c>
      <c r="J11" t="str">
        <f t="shared" si="4"/>
        <v>00</v>
      </c>
      <c r="K11">
        <v>20141125</v>
      </c>
      <c r="L11" t="str">
        <f>"002137"</f>
        <v>002137</v>
      </c>
      <c r="M11" t="str">
        <f>"00015"</f>
        <v>00015</v>
      </c>
      <c r="N11" t="s">
        <v>44</v>
      </c>
      <c r="O11">
        <v>27.65</v>
      </c>
      <c r="Q11" t="s">
        <v>33</v>
      </c>
      <c r="R11" t="s">
        <v>34</v>
      </c>
      <c r="S11" t="s">
        <v>35</v>
      </c>
      <c r="T11" t="s">
        <v>35</v>
      </c>
      <c r="U11" t="s">
        <v>34</v>
      </c>
      <c r="V11" t="str">
        <f>""</f>
        <v/>
      </c>
      <c r="W11">
        <v>20141120</v>
      </c>
      <c r="X11" t="s">
        <v>54</v>
      </c>
      <c r="Y11" t="s">
        <v>59</v>
      </c>
      <c r="Z11" t="s">
        <v>59</v>
      </c>
      <c r="AA11">
        <v>0</v>
      </c>
      <c r="AB11" t="s">
        <v>38</v>
      </c>
      <c r="AC11" t="s">
        <v>39</v>
      </c>
      <c r="AD11" t="s">
        <v>40</v>
      </c>
      <c r="AE11" t="str">
        <f t="shared" si="5"/>
        <v>11</v>
      </c>
      <c r="AF11" t="s">
        <v>40</v>
      </c>
    </row>
    <row r="12" spans="1:32" x14ac:dyDescent="0.25">
      <c r="A12">
        <v>5</v>
      </c>
      <c r="B12">
        <v>865</v>
      </c>
      <c r="C12" t="str">
        <f t="shared" si="0"/>
        <v>00</v>
      </c>
      <c r="D12">
        <v>2190</v>
      </c>
      <c r="E12" t="str">
        <f>"37"</f>
        <v>37</v>
      </c>
      <c r="F12" t="str">
        <f t="shared" si="1"/>
        <v>000</v>
      </c>
      <c r="G12">
        <v>5</v>
      </c>
      <c r="H12" t="str">
        <f t="shared" si="2"/>
        <v>00</v>
      </c>
      <c r="I12" t="str">
        <f t="shared" si="3"/>
        <v>0</v>
      </c>
      <c r="J12" t="str">
        <f t="shared" si="4"/>
        <v>00</v>
      </c>
      <c r="K12">
        <v>20141204</v>
      </c>
      <c r="L12" t="str">
        <f>"002138"</f>
        <v>002138</v>
      </c>
      <c r="M12" t="str">
        <f>"00792"</f>
        <v>00792</v>
      </c>
      <c r="N12" t="s">
        <v>47</v>
      </c>
      <c r="O12">
        <v>18.989999999999998</v>
      </c>
      <c r="Q12" t="s">
        <v>33</v>
      </c>
      <c r="R12" t="s">
        <v>34</v>
      </c>
      <c r="S12" t="s">
        <v>35</v>
      </c>
      <c r="T12" t="s">
        <v>35</v>
      </c>
      <c r="U12" t="s">
        <v>34</v>
      </c>
      <c r="V12" t="str">
        <f>""</f>
        <v/>
      </c>
      <c r="W12">
        <v>20141204</v>
      </c>
      <c r="X12" t="s">
        <v>48</v>
      </c>
      <c r="Y12" t="s">
        <v>60</v>
      </c>
      <c r="Z12" t="s">
        <v>60</v>
      </c>
      <c r="AA12">
        <v>0</v>
      </c>
      <c r="AB12" t="s">
        <v>38</v>
      </c>
      <c r="AC12" t="s">
        <v>39</v>
      </c>
      <c r="AD12" t="s">
        <v>40</v>
      </c>
      <c r="AE12" t="str">
        <f>"12"</f>
        <v>12</v>
      </c>
      <c r="AF12" t="s">
        <v>40</v>
      </c>
    </row>
    <row r="13" spans="1:32" x14ac:dyDescent="0.25">
      <c r="A13">
        <v>5</v>
      </c>
      <c r="B13">
        <v>865</v>
      </c>
      <c r="C13" t="str">
        <f t="shared" si="0"/>
        <v>00</v>
      </c>
      <c r="D13">
        <v>2190</v>
      </c>
      <c r="E13" t="str">
        <f>"57"</f>
        <v>57</v>
      </c>
      <c r="F13" t="str">
        <f t="shared" si="1"/>
        <v>000</v>
      </c>
      <c r="G13">
        <v>5</v>
      </c>
      <c r="H13" t="str">
        <f t="shared" si="2"/>
        <v>00</v>
      </c>
      <c r="I13" t="str">
        <f t="shared" si="3"/>
        <v>0</v>
      </c>
      <c r="J13" t="str">
        <f t="shared" si="4"/>
        <v>00</v>
      </c>
      <c r="K13">
        <v>20141204</v>
      </c>
      <c r="L13" t="str">
        <f>"002139"</f>
        <v>002139</v>
      </c>
      <c r="M13" t="str">
        <f>"00533"</f>
        <v>00533</v>
      </c>
      <c r="N13" t="s">
        <v>61</v>
      </c>
      <c r="O13">
        <v>85</v>
      </c>
      <c r="Q13" t="s">
        <v>33</v>
      </c>
      <c r="R13" t="s">
        <v>34</v>
      </c>
      <c r="S13" t="s">
        <v>35</v>
      </c>
      <c r="T13" t="s">
        <v>35</v>
      </c>
      <c r="U13" t="s">
        <v>34</v>
      </c>
      <c r="V13" t="str">
        <f>""</f>
        <v/>
      </c>
      <c r="W13">
        <v>20141203</v>
      </c>
      <c r="X13" t="s">
        <v>62</v>
      </c>
      <c r="Y13" t="s">
        <v>63</v>
      </c>
      <c r="Z13" t="s">
        <v>63</v>
      </c>
      <c r="AA13">
        <v>0</v>
      </c>
      <c r="AB13" t="s">
        <v>38</v>
      </c>
      <c r="AC13" t="s">
        <v>39</v>
      </c>
      <c r="AD13" t="s">
        <v>40</v>
      </c>
      <c r="AE13" t="str">
        <f>"12"</f>
        <v>12</v>
      </c>
      <c r="AF13" t="s">
        <v>40</v>
      </c>
    </row>
    <row r="14" spans="1:32" x14ac:dyDescent="0.25">
      <c r="A14">
        <v>5</v>
      </c>
      <c r="B14">
        <v>865</v>
      </c>
      <c r="C14" t="str">
        <f t="shared" si="0"/>
        <v>00</v>
      </c>
      <c r="D14">
        <v>2190</v>
      </c>
      <c r="E14" t="str">
        <f>"58"</f>
        <v>58</v>
      </c>
      <c r="F14" t="str">
        <f t="shared" si="1"/>
        <v>000</v>
      </c>
      <c r="G14">
        <v>5</v>
      </c>
      <c r="H14" t="str">
        <f t="shared" si="2"/>
        <v>00</v>
      </c>
      <c r="I14" t="str">
        <f t="shared" si="3"/>
        <v>0</v>
      </c>
      <c r="J14" t="str">
        <f t="shared" si="4"/>
        <v>00</v>
      </c>
      <c r="K14">
        <v>20141204</v>
      </c>
      <c r="L14" t="str">
        <f>"002139"</f>
        <v>002139</v>
      </c>
      <c r="M14" t="str">
        <f>"00533"</f>
        <v>00533</v>
      </c>
      <c r="N14" t="s">
        <v>61</v>
      </c>
      <c r="O14">
        <v>85</v>
      </c>
      <c r="Q14" t="s">
        <v>33</v>
      </c>
      <c r="R14" t="s">
        <v>34</v>
      </c>
      <c r="S14" t="s">
        <v>35</v>
      </c>
      <c r="T14" t="s">
        <v>35</v>
      </c>
      <c r="U14" t="s">
        <v>34</v>
      </c>
      <c r="V14" t="str">
        <f>""</f>
        <v/>
      </c>
      <c r="W14">
        <v>20141203</v>
      </c>
      <c r="X14" t="s">
        <v>64</v>
      </c>
      <c r="Y14" t="s">
        <v>65</v>
      </c>
      <c r="Z14" t="s">
        <v>65</v>
      </c>
      <c r="AA14">
        <v>0</v>
      </c>
      <c r="AB14" t="s">
        <v>38</v>
      </c>
      <c r="AC14" t="s">
        <v>39</v>
      </c>
      <c r="AD14" t="s">
        <v>40</v>
      </c>
      <c r="AE14" t="str">
        <f>"12"</f>
        <v>12</v>
      </c>
      <c r="AF14" t="s">
        <v>40</v>
      </c>
    </row>
    <row r="15" spans="1:32" x14ac:dyDescent="0.25">
      <c r="A15">
        <v>5</v>
      </c>
      <c r="B15">
        <v>865</v>
      </c>
      <c r="C15" t="str">
        <f t="shared" si="0"/>
        <v>00</v>
      </c>
      <c r="D15">
        <v>2190</v>
      </c>
      <c r="E15" t="str">
        <f>"21"</f>
        <v>21</v>
      </c>
      <c r="F15" t="str">
        <f t="shared" si="1"/>
        <v>000</v>
      </c>
      <c r="G15">
        <v>5</v>
      </c>
      <c r="H15" t="str">
        <f t="shared" si="2"/>
        <v>00</v>
      </c>
      <c r="I15" t="str">
        <f t="shared" si="3"/>
        <v>0</v>
      </c>
      <c r="J15" t="str">
        <f t="shared" si="4"/>
        <v>00</v>
      </c>
      <c r="K15">
        <v>20141219</v>
      </c>
      <c r="L15" t="str">
        <f>"002140"</f>
        <v>002140</v>
      </c>
      <c r="M15" t="str">
        <f>"00015"</f>
        <v>00015</v>
      </c>
      <c r="N15" t="s">
        <v>44</v>
      </c>
      <c r="O15">
        <v>244.4</v>
      </c>
      <c r="Q15" t="s">
        <v>33</v>
      </c>
      <c r="R15" t="s">
        <v>34</v>
      </c>
      <c r="S15" t="s">
        <v>35</v>
      </c>
      <c r="T15" t="s">
        <v>35</v>
      </c>
      <c r="U15" t="s">
        <v>34</v>
      </c>
      <c r="V15" t="str">
        <f>""</f>
        <v/>
      </c>
      <c r="W15">
        <v>20141216</v>
      </c>
      <c r="X15" t="s">
        <v>36</v>
      </c>
      <c r="Y15" t="s">
        <v>66</v>
      </c>
      <c r="Z15" t="s">
        <v>66</v>
      </c>
      <c r="AA15">
        <v>0</v>
      </c>
      <c r="AB15" t="s">
        <v>38</v>
      </c>
      <c r="AC15" t="s">
        <v>39</v>
      </c>
      <c r="AD15" t="s">
        <v>40</v>
      </c>
      <c r="AE15" t="str">
        <f>"12"</f>
        <v>12</v>
      </c>
      <c r="AF15" t="s">
        <v>40</v>
      </c>
    </row>
    <row r="16" spans="1:32" x14ac:dyDescent="0.25">
      <c r="A16">
        <v>5</v>
      </c>
      <c r="B16">
        <v>865</v>
      </c>
      <c r="C16" t="str">
        <f t="shared" si="0"/>
        <v>00</v>
      </c>
      <c r="D16">
        <v>2190</v>
      </c>
      <c r="E16" t="str">
        <f>"23"</f>
        <v>23</v>
      </c>
      <c r="F16" t="str">
        <f t="shared" si="1"/>
        <v>000</v>
      </c>
      <c r="G16">
        <v>5</v>
      </c>
      <c r="H16" t="str">
        <f t="shared" si="2"/>
        <v>00</v>
      </c>
      <c r="I16" t="str">
        <f t="shared" si="3"/>
        <v>0</v>
      </c>
      <c r="J16" t="str">
        <f t="shared" si="4"/>
        <v>00</v>
      </c>
      <c r="K16">
        <v>20141219</v>
      </c>
      <c r="L16" t="str">
        <f>"002140"</f>
        <v>002140</v>
      </c>
      <c r="M16" t="str">
        <f>"00015"</f>
        <v>00015</v>
      </c>
      <c r="N16" t="s">
        <v>44</v>
      </c>
      <c r="O16">
        <v>244</v>
      </c>
      <c r="Q16" t="s">
        <v>33</v>
      </c>
      <c r="R16" t="s">
        <v>34</v>
      </c>
      <c r="S16" t="s">
        <v>35</v>
      </c>
      <c r="T16" t="s">
        <v>35</v>
      </c>
      <c r="U16" t="s">
        <v>34</v>
      </c>
      <c r="V16" t="str">
        <f>""</f>
        <v/>
      </c>
      <c r="W16">
        <v>20141216</v>
      </c>
      <c r="X16" t="s">
        <v>67</v>
      </c>
      <c r="Y16" t="s">
        <v>66</v>
      </c>
      <c r="Z16" t="s">
        <v>66</v>
      </c>
      <c r="AA16">
        <v>0</v>
      </c>
      <c r="AB16" t="s">
        <v>38</v>
      </c>
      <c r="AC16" t="s">
        <v>39</v>
      </c>
      <c r="AD16" t="s">
        <v>40</v>
      </c>
      <c r="AE16" t="str">
        <f>"12"</f>
        <v>12</v>
      </c>
      <c r="AF16" t="s">
        <v>40</v>
      </c>
    </row>
    <row r="17" spans="1:32" x14ac:dyDescent="0.25">
      <c r="A17">
        <v>5</v>
      </c>
      <c r="B17">
        <v>865</v>
      </c>
      <c r="C17" t="str">
        <f t="shared" si="0"/>
        <v>00</v>
      </c>
      <c r="D17">
        <v>2190</v>
      </c>
      <c r="E17" t="str">
        <f>"37"</f>
        <v>37</v>
      </c>
      <c r="F17" t="str">
        <f t="shared" si="1"/>
        <v>000</v>
      </c>
      <c r="G17">
        <v>5</v>
      </c>
      <c r="H17" t="str">
        <f t="shared" si="2"/>
        <v>00</v>
      </c>
      <c r="I17" t="str">
        <f t="shared" si="3"/>
        <v>0</v>
      </c>
      <c r="J17" t="str">
        <f t="shared" si="4"/>
        <v>00</v>
      </c>
      <c r="K17">
        <v>20150114</v>
      </c>
      <c r="L17" t="str">
        <f>"002141"</f>
        <v>002141</v>
      </c>
      <c r="M17" t="str">
        <f>"00792"</f>
        <v>00792</v>
      </c>
      <c r="N17" t="s">
        <v>47</v>
      </c>
      <c r="O17">
        <v>18.989999999999998</v>
      </c>
      <c r="Q17" t="s">
        <v>33</v>
      </c>
      <c r="R17" t="s">
        <v>34</v>
      </c>
      <c r="S17" t="s">
        <v>35</v>
      </c>
      <c r="T17" t="s">
        <v>35</v>
      </c>
      <c r="U17" t="s">
        <v>34</v>
      </c>
      <c r="V17" t="str">
        <f>""</f>
        <v/>
      </c>
      <c r="W17">
        <v>20150108</v>
      </c>
      <c r="X17" t="s">
        <v>48</v>
      </c>
      <c r="Y17" t="s">
        <v>68</v>
      </c>
      <c r="Z17" t="s">
        <v>68</v>
      </c>
      <c r="AA17">
        <v>0</v>
      </c>
      <c r="AB17" t="s">
        <v>38</v>
      </c>
      <c r="AC17" t="s">
        <v>39</v>
      </c>
      <c r="AD17" t="s">
        <v>40</v>
      </c>
      <c r="AE17" t="str">
        <f>"01"</f>
        <v>01</v>
      </c>
      <c r="AF17" t="s">
        <v>40</v>
      </c>
    </row>
    <row r="18" spans="1:32" x14ac:dyDescent="0.25">
      <c r="A18">
        <v>5</v>
      </c>
      <c r="B18">
        <v>865</v>
      </c>
      <c r="C18" t="str">
        <f t="shared" si="0"/>
        <v>00</v>
      </c>
      <c r="D18">
        <v>2190</v>
      </c>
      <c r="E18" t="str">
        <f>"21"</f>
        <v>21</v>
      </c>
      <c r="F18" t="str">
        <f t="shared" si="1"/>
        <v>000</v>
      </c>
      <c r="G18">
        <v>5</v>
      </c>
      <c r="H18" t="str">
        <f t="shared" si="2"/>
        <v>00</v>
      </c>
      <c r="I18" t="str">
        <f t="shared" si="3"/>
        <v>0</v>
      </c>
      <c r="J18" t="str">
        <f t="shared" si="4"/>
        <v>00</v>
      </c>
      <c r="K18">
        <v>20150114</v>
      </c>
      <c r="L18" t="str">
        <f>"002142"</f>
        <v>002142</v>
      </c>
      <c r="M18" t="str">
        <f>"00474"</f>
        <v>00474</v>
      </c>
      <c r="N18" t="s">
        <v>56</v>
      </c>
      <c r="O18">
        <v>102.83</v>
      </c>
      <c r="Q18" t="s">
        <v>33</v>
      </c>
      <c r="R18" t="s">
        <v>34</v>
      </c>
      <c r="S18" t="s">
        <v>35</v>
      </c>
      <c r="T18" t="s">
        <v>35</v>
      </c>
      <c r="U18" t="s">
        <v>34</v>
      </c>
      <c r="V18" t="str">
        <f>""</f>
        <v/>
      </c>
      <c r="W18">
        <v>20150108</v>
      </c>
      <c r="X18" t="s">
        <v>36</v>
      </c>
      <c r="Y18" t="s">
        <v>57</v>
      </c>
      <c r="Z18" t="s">
        <v>57</v>
      </c>
      <c r="AA18">
        <v>0</v>
      </c>
      <c r="AB18" t="s">
        <v>38</v>
      </c>
      <c r="AC18" t="s">
        <v>39</v>
      </c>
      <c r="AD18" t="s">
        <v>40</v>
      </c>
      <c r="AE18" t="str">
        <f>"01"</f>
        <v>01</v>
      </c>
      <c r="AF18" t="s">
        <v>40</v>
      </c>
    </row>
    <row r="19" spans="1:32" x14ac:dyDescent="0.25">
      <c r="A19">
        <v>5</v>
      </c>
      <c r="B19">
        <v>865</v>
      </c>
      <c r="C19" t="str">
        <f t="shared" si="0"/>
        <v>00</v>
      </c>
      <c r="D19">
        <v>2190</v>
      </c>
      <c r="E19" t="str">
        <f>"21"</f>
        <v>21</v>
      </c>
      <c r="F19" t="str">
        <f t="shared" si="1"/>
        <v>000</v>
      </c>
      <c r="G19">
        <v>5</v>
      </c>
      <c r="H19" t="str">
        <f t="shared" si="2"/>
        <v>00</v>
      </c>
      <c r="I19" t="str">
        <f t="shared" si="3"/>
        <v>0</v>
      </c>
      <c r="J19" t="str">
        <f t="shared" si="4"/>
        <v>00</v>
      </c>
      <c r="K19">
        <v>20150123</v>
      </c>
      <c r="L19" t="str">
        <f>"002143"</f>
        <v>002143</v>
      </c>
      <c r="M19" t="str">
        <f>"00729"</f>
        <v>00729</v>
      </c>
      <c r="N19" t="s">
        <v>69</v>
      </c>
      <c r="O19" s="1">
        <v>2064.89</v>
      </c>
      <c r="Q19" t="s">
        <v>33</v>
      </c>
      <c r="R19" t="s">
        <v>34</v>
      </c>
      <c r="S19" t="s">
        <v>35</v>
      </c>
      <c r="T19" t="s">
        <v>35</v>
      </c>
      <c r="U19" t="s">
        <v>34</v>
      </c>
      <c r="V19" t="str">
        <f>""</f>
        <v/>
      </c>
      <c r="W19">
        <v>20150121</v>
      </c>
      <c r="X19" t="s">
        <v>36</v>
      </c>
      <c r="Y19" t="s">
        <v>70</v>
      </c>
      <c r="Z19" t="s">
        <v>70</v>
      </c>
      <c r="AA19">
        <v>0</v>
      </c>
      <c r="AB19" t="s">
        <v>38</v>
      </c>
      <c r="AC19" t="s">
        <v>39</v>
      </c>
      <c r="AD19" t="s">
        <v>40</v>
      </c>
      <c r="AE19" t="str">
        <f>"01"</f>
        <v>01</v>
      </c>
      <c r="AF19" t="s">
        <v>40</v>
      </c>
    </row>
    <row r="20" spans="1:32" x14ac:dyDescent="0.25">
      <c r="A20">
        <v>5</v>
      </c>
      <c r="B20">
        <v>865</v>
      </c>
      <c r="C20" t="str">
        <f t="shared" si="0"/>
        <v>00</v>
      </c>
      <c r="D20">
        <v>2190</v>
      </c>
      <c r="E20" t="str">
        <f>"37"</f>
        <v>37</v>
      </c>
      <c r="F20" t="str">
        <f t="shared" si="1"/>
        <v>000</v>
      </c>
      <c r="G20">
        <v>5</v>
      </c>
      <c r="H20" t="str">
        <f t="shared" si="2"/>
        <v>00</v>
      </c>
      <c r="I20" t="str">
        <f t="shared" si="3"/>
        <v>0</v>
      </c>
      <c r="J20" t="str">
        <f t="shared" si="4"/>
        <v>00</v>
      </c>
      <c r="K20">
        <v>20150219</v>
      </c>
      <c r="L20" t="str">
        <f>"002144"</f>
        <v>002144</v>
      </c>
      <c r="M20" t="str">
        <f>"00792"</f>
        <v>00792</v>
      </c>
      <c r="N20" t="s">
        <v>47</v>
      </c>
      <c r="O20">
        <v>18.989999999999998</v>
      </c>
      <c r="Q20" t="s">
        <v>33</v>
      </c>
      <c r="R20" t="s">
        <v>34</v>
      </c>
      <c r="S20" t="s">
        <v>35</v>
      </c>
      <c r="T20" t="s">
        <v>35</v>
      </c>
      <c r="U20" t="s">
        <v>34</v>
      </c>
      <c r="V20" t="str">
        <f>""</f>
        <v/>
      </c>
      <c r="W20">
        <v>20150217</v>
      </c>
      <c r="X20" t="s">
        <v>48</v>
      </c>
      <c r="Y20" t="s">
        <v>71</v>
      </c>
      <c r="Z20" t="s">
        <v>71</v>
      </c>
      <c r="AA20">
        <v>0</v>
      </c>
      <c r="AB20" t="s">
        <v>38</v>
      </c>
      <c r="AC20" t="s">
        <v>39</v>
      </c>
      <c r="AD20" t="s">
        <v>40</v>
      </c>
      <c r="AE20" t="str">
        <f>"02"</f>
        <v>02</v>
      </c>
      <c r="AF20" t="s">
        <v>40</v>
      </c>
    </row>
    <row r="21" spans="1:32" x14ac:dyDescent="0.25">
      <c r="A21">
        <v>5</v>
      </c>
      <c r="B21">
        <v>865</v>
      </c>
      <c r="C21" t="str">
        <f t="shared" si="0"/>
        <v>00</v>
      </c>
      <c r="D21">
        <v>2190</v>
      </c>
      <c r="E21" t="str">
        <f>"49"</f>
        <v>49</v>
      </c>
      <c r="F21" t="str">
        <f t="shared" si="1"/>
        <v>000</v>
      </c>
      <c r="G21">
        <v>5</v>
      </c>
      <c r="H21" t="str">
        <f t="shared" si="2"/>
        <v>00</v>
      </c>
      <c r="I21" t="str">
        <f t="shared" si="3"/>
        <v>0</v>
      </c>
      <c r="J21" t="str">
        <f t="shared" si="4"/>
        <v>00</v>
      </c>
      <c r="K21">
        <v>20150226</v>
      </c>
      <c r="L21" t="str">
        <f>"002145"</f>
        <v>002145</v>
      </c>
      <c r="M21" t="str">
        <f>"00015"</f>
        <v>00015</v>
      </c>
      <c r="N21" t="s">
        <v>44</v>
      </c>
      <c r="O21">
        <v>317.39999999999998</v>
      </c>
      <c r="Q21" t="s">
        <v>33</v>
      </c>
      <c r="R21" t="s">
        <v>34</v>
      </c>
      <c r="S21" t="s">
        <v>35</v>
      </c>
      <c r="T21" t="s">
        <v>35</v>
      </c>
      <c r="U21" t="s">
        <v>34</v>
      </c>
      <c r="V21" t="str">
        <f>""</f>
        <v/>
      </c>
      <c r="W21">
        <v>20150225</v>
      </c>
      <c r="X21" t="s">
        <v>45</v>
      </c>
      <c r="Y21" t="s">
        <v>58</v>
      </c>
      <c r="Z21" t="s">
        <v>58</v>
      </c>
      <c r="AA21">
        <v>0</v>
      </c>
      <c r="AB21" t="s">
        <v>38</v>
      </c>
      <c r="AC21" t="s">
        <v>39</v>
      </c>
      <c r="AD21" t="s">
        <v>40</v>
      </c>
      <c r="AE21" t="str">
        <f>"02"</f>
        <v>02</v>
      </c>
      <c r="AF21" t="s">
        <v>40</v>
      </c>
    </row>
    <row r="22" spans="1:32" x14ac:dyDescent="0.25">
      <c r="A22">
        <v>5</v>
      </c>
      <c r="B22">
        <v>865</v>
      </c>
      <c r="C22" t="str">
        <f t="shared" si="0"/>
        <v>00</v>
      </c>
      <c r="D22">
        <v>2190</v>
      </c>
      <c r="E22" t="str">
        <f>"56"</f>
        <v>56</v>
      </c>
      <c r="F22" t="str">
        <f t="shared" si="1"/>
        <v>000</v>
      </c>
      <c r="G22">
        <v>5</v>
      </c>
      <c r="H22" t="str">
        <f t="shared" si="2"/>
        <v>00</v>
      </c>
      <c r="I22" t="str">
        <f t="shared" si="3"/>
        <v>0</v>
      </c>
      <c r="J22" t="str">
        <f t="shared" si="4"/>
        <v>00</v>
      </c>
      <c r="K22">
        <v>20150226</v>
      </c>
      <c r="L22" t="str">
        <f>"002146"</f>
        <v>002146</v>
      </c>
      <c r="M22" t="str">
        <f>"00313"</f>
        <v>00313</v>
      </c>
      <c r="N22" t="s">
        <v>72</v>
      </c>
      <c r="O22" s="1">
        <v>1976.54</v>
      </c>
      <c r="Q22" t="s">
        <v>33</v>
      </c>
      <c r="R22" t="s">
        <v>34</v>
      </c>
      <c r="S22" t="s">
        <v>35</v>
      </c>
      <c r="T22" t="s">
        <v>35</v>
      </c>
      <c r="U22" t="s">
        <v>34</v>
      </c>
      <c r="V22" t="str">
        <f>""</f>
        <v/>
      </c>
      <c r="W22">
        <v>20150225</v>
      </c>
      <c r="X22" t="s">
        <v>73</v>
      </c>
      <c r="Y22" t="s">
        <v>74</v>
      </c>
      <c r="Z22" t="s">
        <v>74</v>
      </c>
      <c r="AA22">
        <v>0</v>
      </c>
      <c r="AB22" t="s">
        <v>38</v>
      </c>
      <c r="AC22" t="s">
        <v>39</v>
      </c>
      <c r="AD22" t="s">
        <v>40</v>
      </c>
      <c r="AE22" t="str">
        <f>"02"</f>
        <v>02</v>
      </c>
      <c r="AF22" t="s">
        <v>40</v>
      </c>
    </row>
    <row r="23" spans="1:32" x14ac:dyDescent="0.25">
      <c r="A23">
        <v>5</v>
      </c>
      <c r="B23">
        <v>865</v>
      </c>
      <c r="C23" t="str">
        <f t="shared" si="0"/>
        <v>00</v>
      </c>
      <c r="D23">
        <v>2190</v>
      </c>
      <c r="E23" t="str">
        <f>"21"</f>
        <v>21</v>
      </c>
      <c r="F23" t="str">
        <f t="shared" si="1"/>
        <v>000</v>
      </c>
      <c r="G23">
        <v>5</v>
      </c>
      <c r="H23" t="str">
        <f t="shared" si="2"/>
        <v>00</v>
      </c>
      <c r="I23" t="str">
        <f t="shared" si="3"/>
        <v>0</v>
      </c>
      <c r="J23" t="str">
        <f t="shared" si="4"/>
        <v>00</v>
      </c>
      <c r="K23">
        <v>20150226</v>
      </c>
      <c r="L23" t="str">
        <f>"002147"</f>
        <v>002147</v>
      </c>
      <c r="M23" t="str">
        <f>"00444"</f>
        <v>00444</v>
      </c>
      <c r="N23" t="s">
        <v>41</v>
      </c>
      <c r="O23">
        <v>30</v>
      </c>
      <c r="Q23" t="s">
        <v>33</v>
      </c>
      <c r="R23" t="s">
        <v>34</v>
      </c>
      <c r="S23" t="s">
        <v>35</v>
      </c>
      <c r="T23" t="s">
        <v>35</v>
      </c>
      <c r="U23" t="s">
        <v>34</v>
      </c>
      <c r="V23" t="str">
        <f>""</f>
        <v/>
      </c>
      <c r="W23">
        <v>20150225</v>
      </c>
      <c r="X23" t="s">
        <v>36</v>
      </c>
      <c r="Y23" t="s">
        <v>75</v>
      </c>
      <c r="Z23" t="s">
        <v>75</v>
      </c>
      <c r="AA23">
        <v>0</v>
      </c>
      <c r="AB23" t="s">
        <v>38</v>
      </c>
      <c r="AC23" t="s">
        <v>39</v>
      </c>
      <c r="AD23" t="s">
        <v>40</v>
      </c>
      <c r="AE23" t="str">
        <f>"02"</f>
        <v>02</v>
      </c>
      <c r="AF23" t="s">
        <v>40</v>
      </c>
    </row>
    <row r="24" spans="1:32" x14ac:dyDescent="0.25">
      <c r="A24">
        <v>5</v>
      </c>
      <c r="B24">
        <v>865</v>
      </c>
      <c r="C24" t="str">
        <f t="shared" si="0"/>
        <v>00</v>
      </c>
      <c r="D24">
        <v>2190</v>
      </c>
      <c r="E24" t="str">
        <f>"37"</f>
        <v>37</v>
      </c>
      <c r="F24" t="str">
        <f t="shared" si="1"/>
        <v>000</v>
      </c>
      <c r="G24">
        <v>5</v>
      </c>
      <c r="H24" t="str">
        <f t="shared" si="2"/>
        <v>00</v>
      </c>
      <c r="I24" t="str">
        <f t="shared" si="3"/>
        <v>0</v>
      </c>
      <c r="J24" t="str">
        <f t="shared" si="4"/>
        <v>00</v>
      </c>
      <c r="K24">
        <v>20150331</v>
      </c>
      <c r="L24" t="str">
        <f>"002148"</f>
        <v>002148</v>
      </c>
      <c r="M24" t="str">
        <f>"00792"</f>
        <v>00792</v>
      </c>
      <c r="N24" t="s">
        <v>47</v>
      </c>
      <c r="O24">
        <v>18.989999999999998</v>
      </c>
      <c r="Q24" t="s">
        <v>33</v>
      </c>
      <c r="R24" t="s">
        <v>34</v>
      </c>
      <c r="S24" t="s">
        <v>35</v>
      </c>
      <c r="T24" t="s">
        <v>35</v>
      </c>
      <c r="U24" t="s">
        <v>34</v>
      </c>
      <c r="V24" t="str">
        <f>""</f>
        <v/>
      </c>
      <c r="W24">
        <v>20150331</v>
      </c>
      <c r="X24" t="s">
        <v>48</v>
      </c>
      <c r="Y24" t="s">
        <v>76</v>
      </c>
      <c r="Z24" t="s">
        <v>76</v>
      </c>
      <c r="AA24">
        <v>0</v>
      </c>
      <c r="AB24" t="s">
        <v>38</v>
      </c>
      <c r="AC24" t="s">
        <v>39</v>
      </c>
      <c r="AD24" t="s">
        <v>40</v>
      </c>
      <c r="AE24" t="str">
        <f>"03"</f>
        <v>03</v>
      </c>
      <c r="AF24" t="s">
        <v>40</v>
      </c>
    </row>
    <row r="25" spans="1:32" x14ac:dyDescent="0.25">
      <c r="A25">
        <v>5</v>
      </c>
      <c r="B25">
        <v>865</v>
      </c>
      <c r="C25" t="str">
        <f t="shared" si="0"/>
        <v>00</v>
      </c>
      <c r="D25">
        <v>2190</v>
      </c>
      <c r="E25" t="str">
        <f>"56"</f>
        <v>56</v>
      </c>
      <c r="F25" t="str">
        <f t="shared" si="1"/>
        <v>000</v>
      </c>
      <c r="G25">
        <v>5</v>
      </c>
      <c r="H25" t="str">
        <f t="shared" si="2"/>
        <v>00</v>
      </c>
      <c r="I25" t="str">
        <f t="shared" si="3"/>
        <v>0</v>
      </c>
      <c r="J25" t="str">
        <f t="shared" si="4"/>
        <v>00</v>
      </c>
      <c r="K25">
        <v>20150408</v>
      </c>
      <c r="L25" t="str">
        <f>"002149"</f>
        <v>002149</v>
      </c>
      <c r="M25" t="str">
        <f>"00488"</f>
        <v>00488</v>
      </c>
      <c r="N25" t="s">
        <v>77</v>
      </c>
      <c r="O25">
        <v>823.67</v>
      </c>
      <c r="Q25" t="s">
        <v>33</v>
      </c>
      <c r="R25" t="s">
        <v>34</v>
      </c>
      <c r="S25" t="s">
        <v>35</v>
      </c>
      <c r="T25" t="s">
        <v>35</v>
      </c>
      <c r="U25" t="s">
        <v>34</v>
      </c>
      <c r="V25" t="str">
        <f>""</f>
        <v/>
      </c>
      <c r="W25">
        <v>20150407</v>
      </c>
      <c r="X25" t="s">
        <v>73</v>
      </c>
      <c r="Y25" t="s">
        <v>78</v>
      </c>
      <c r="Z25" t="s">
        <v>78</v>
      </c>
      <c r="AA25">
        <v>0</v>
      </c>
      <c r="AB25" t="s">
        <v>38</v>
      </c>
      <c r="AC25" t="s">
        <v>39</v>
      </c>
      <c r="AD25" t="s">
        <v>40</v>
      </c>
      <c r="AE25" t="str">
        <f t="shared" ref="AE25:AE32" si="6">"04"</f>
        <v>04</v>
      </c>
      <c r="AF25" t="s">
        <v>40</v>
      </c>
    </row>
    <row r="26" spans="1:32" x14ac:dyDescent="0.25">
      <c r="A26">
        <v>5</v>
      </c>
      <c r="B26">
        <v>865</v>
      </c>
      <c r="C26" t="str">
        <f t="shared" si="0"/>
        <v>00</v>
      </c>
      <c r="D26">
        <v>2190</v>
      </c>
      <c r="E26" t="str">
        <f>"27"</f>
        <v>27</v>
      </c>
      <c r="F26" t="str">
        <f t="shared" si="1"/>
        <v>000</v>
      </c>
      <c r="G26">
        <v>5</v>
      </c>
      <c r="H26" t="str">
        <f t="shared" si="2"/>
        <v>00</v>
      </c>
      <c r="I26" t="str">
        <f t="shared" si="3"/>
        <v>0</v>
      </c>
      <c r="J26" t="str">
        <f t="shared" si="4"/>
        <v>00</v>
      </c>
      <c r="K26">
        <v>20150416</v>
      </c>
      <c r="L26" t="str">
        <f>"002150"</f>
        <v>002150</v>
      </c>
      <c r="M26" t="str">
        <f>"00845"</f>
        <v>00845</v>
      </c>
      <c r="N26" t="s">
        <v>79</v>
      </c>
      <c r="O26">
        <v>40</v>
      </c>
      <c r="Q26" t="s">
        <v>33</v>
      </c>
      <c r="R26" t="s">
        <v>34</v>
      </c>
      <c r="S26" t="s">
        <v>35</v>
      </c>
      <c r="T26" t="s">
        <v>35</v>
      </c>
      <c r="U26" t="s">
        <v>34</v>
      </c>
      <c r="V26" t="str">
        <f>""</f>
        <v/>
      </c>
      <c r="W26">
        <v>20150414</v>
      </c>
      <c r="X26" t="s">
        <v>80</v>
      </c>
      <c r="Y26" t="s">
        <v>81</v>
      </c>
      <c r="Z26" t="s">
        <v>81</v>
      </c>
      <c r="AA26">
        <v>0</v>
      </c>
      <c r="AB26" t="s">
        <v>38</v>
      </c>
      <c r="AC26" t="s">
        <v>39</v>
      </c>
      <c r="AD26" t="s">
        <v>40</v>
      </c>
      <c r="AE26" t="str">
        <f t="shared" si="6"/>
        <v>04</v>
      </c>
      <c r="AF26" t="s">
        <v>40</v>
      </c>
    </row>
    <row r="27" spans="1:32" x14ac:dyDescent="0.25">
      <c r="A27">
        <v>5</v>
      </c>
      <c r="B27">
        <v>865</v>
      </c>
      <c r="C27" t="str">
        <f t="shared" si="0"/>
        <v>00</v>
      </c>
      <c r="D27">
        <v>2190</v>
      </c>
      <c r="E27" t="str">
        <f>"28"</f>
        <v>28</v>
      </c>
      <c r="F27" t="str">
        <f t="shared" si="1"/>
        <v>000</v>
      </c>
      <c r="G27">
        <v>5</v>
      </c>
      <c r="H27" t="str">
        <f t="shared" si="2"/>
        <v>00</v>
      </c>
      <c r="I27" t="str">
        <f t="shared" si="3"/>
        <v>0</v>
      </c>
      <c r="J27" t="str">
        <f t="shared" si="4"/>
        <v>00</v>
      </c>
      <c r="K27">
        <v>20150416</v>
      </c>
      <c r="L27" t="str">
        <f>"002151"</f>
        <v>002151</v>
      </c>
      <c r="M27" t="str">
        <f>"00444"</f>
        <v>00444</v>
      </c>
      <c r="N27" t="s">
        <v>41</v>
      </c>
      <c r="O27">
        <v>300.75</v>
      </c>
      <c r="Q27" t="s">
        <v>33</v>
      </c>
      <c r="R27" t="s">
        <v>34</v>
      </c>
      <c r="S27" t="s">
        <v>35</v>
      </c>
      <c r="T27" t="s">
        <v>35</v>
      </c>
      <c r="U27" t="s">
        <v>34</v>
      </c>
      <c r="V27" t="str">
        <f>""</f>
        <v/>
      </c>
      <c r="W27">
        <v>20150414</v>
      </c>
      <c r="X27" t="s">
        <v>82</v>
      </c>
      <c r="Y27" t="s">
        <v>55</v>
      </c>
      <c r="Z27" t="s">
        <v>55</v>
      </c>
      <c r="AA27">
        <v>0</v>
      </c>
      <c r="AB27" t="s">
        <v>38</v>
      </c>
      <c r="AC27" t="s">
        <v>39</v>
      </c>
      <c r="AD27" t="s">
        <v>40</v>
      </c>
      <c r="AE27" t="str">
        <f t="shared" si="6"/>
        <v>04</v>
      </c>
      <c r="AF27" t="s">
        <v>40</v>
      </c>
    </row>
    <row r="28" spans="1:32" x14ac:dyDescent="0.25">
      <c r="A28">
        <v>5</v>
      </c>
      <c r="B28">
        <v>865</v>
      </c>
      <c r="C28" t="str">
        <f t="shared" si="0"/>
        <v>00</v>
      </c>
      <c r="D28">
        <v>2190</v>
      </c>
      <c r="E28" t="str">
        <f>"56"</f>
        <v>56</v>
      </c>
      <c r="F28" t="str">
        <f t="shared" si="1"/>
        <v>000</v>
      </c>
      <c r="G28">
        <v>5</v>
      </c>
      <c r="H28" t="str">
        <f t="shared" si="2"/>
        <v>00</v>
      </c>
      <c r="I28" t="str">
        <f t="shared" si="3"/>
        <v>0</v>
      </c>
      <c r="J28" t="str">
        <f t="shared" si="4"/>
        <v>00</v>
      </c>
      <c r="K28">
        <v>20150416</v>
      </c>
      <c r="L28" t="str">
        <f>"002151"</f>
        <v>002151</v>
      </c>
      <c r="M28" t="str">
        <f>"00444"</f>
        <v>00444</v>
      </c>
      <c r="N28" t="s">
        <v>41</v>
      </c>
      <c r="O28">
        <v>80</v>
      </c>
      <c r="Q28" t="s">
        <v>33</v>
      </c>
      <c r="R28" t="s">
        <v>34</v>
      </c>
      <c r="S28" t="s">
        <v>35</v>
      </c>
      <c r="T28" t="s">
        <v>35</v>
      </c>
      <c r="U28" t="s">
        <v>34</v>
      </c>
      <c r="V28" t="str">
        <f>""</f>
        <v/>
      </c>
      <c r="W28">
        <v>20150414</v>
      </c>
      <c r="X28" t="s">
        <v>73</v>
      </c>
      <c r="Y28" t="s">
        <v>83</v>
      </c>
      <c r="Z28" t="s">
        <v>83</v>
      </c>
      <c r="AA28">
        <v>0</v>
      </c>
      <c r="AB28" t="s">
        <v>38</v>
      </c>
      <c r="AC28" t="s">
        <v>39</v>
      </c>
      <c r="AD28" t="s">
        <v>40</v>
      </c>
      <c r="AE28" t="str">
        <f t="shared" si="6"/>
        <v>04</v>
      </c>
      <c r="AF28" t="s">
        <v>40</v>
      </c>
    </row>
    <row r="29" spans="1:32" x14ac:dyDescent="0.25">
      <c r="A29">
        <v>5</v>
      </c>
      <c r="B29">
        <v>865</v>
      </c>
      <c r="C29" t="str">
        <f t="shared" si="0"/>
        <v>00</v>
      </c>
      <c r="D29">
        <v>2190</v>
      </c>
      <c r="E29" t="str">
        <f>"21"</f>
        <v>21</v>
      </c>
      <c r="F29" t="str">
        <f t="shared" si="1"/>
        <v>000</v>
      </c>
      <c r="G29">
        <v>5</v>
      </c>
      <c r="H29" t="str">
        <f t="shared" si="2"/>
        <v>00</v>
      </c>
      <c r="I29" t="str">
        <f t="shared" si="3"/>
        <v>0</v>
      </c>
      <c r="J29" t="str">
        <f t="shared" si="4"/>
        <v>00</v>
      </c>
      <c r="K29">
        <v>20150423</v>
      </c>
      <c r="L29" t="str">
        <f>"002152"</f>
        <v>002152</v>
      </c>
      <c r="M29" t="str">
        <f>"00015"</f>
        <v>00015</v>
      </c>
      <c r="N29" t="s">
        <v>44</v>
      </c>
      <c r="O29">
        <v>60</v>
      </c>
      <c r="Q29" t="s">
        <v>33</v>
      </c>
      <c r="R29" t="s">
        <v>34</v>
      </c>
      <c r="S29" t="s">
        <v>35</v>
      </c>
      <c r="T29" t="s">
        <v>35</v>
      </c>
      <c r="U29" t="s">
        <v>34</v>
      </c>
      <c r="V29" t="str">
        <f>""</f>
        <v/>
      </c>
      <c r="W29">
        <v>20150422</v>
      </c>
      <c r="X29" t="s">
        <v>36</v>
      </c>
      <c r="Y29" t="s">
        <v>84</v>
      </c>
      <c r="Z29" t="s">
        <v>84</v>
      </c>
      <c r="AA29">
        <v>0</v>
      </c>
      <c r="AB29" t="s">
        <v>38</v>
      </c>
      <c r="AC29" t="s">
        <v>39</v>
      </c>
      <c r="AD29" t="s">
        <v>40</v>
      </c>
      <c r="AE29" t="str">
        <f t="shared" si="6"/>
        <v>04</v>
      </c>
      <c r="AF29" t="s">
        <v>40</v>
      </c>
    </row>
    <row r="30" spans="1:32" x14ac:dyDescent="0.25">
      <c r="A30">
        <v>5</v>
      </c>
      <c r="B30">
        <v>865</v>
      </c>
      <c r="C30" t="str">
        <f t="shared" si="0"/>
        <v>00</v>
      </c>
      <c r="D30">
        <v>2190</v>
      </c>
      <c r="E30" t="str">
        <f>"21"</f>
        <v>21</v>
      </c>
      <c r="F30" t="str">
        <f t="shared" si="1"/>
        <v>000</v>
      </c>
      <c r="G30">
        <v>5</v>
      </c>
      <c r="H30" t="str">
        <f t="shared" si="2"/>
        <v>00</v>
      </c>
      <c r="I30" t="str">
        <f t="shared" si="3"/>
        <v>0</v>
      </c>
      <c r="J30" t="str">
        <f t="shared" si="4"/>
        <v>00</v>
      </c>
      <c r="K30">
        <v>20150423</v>
      </c>
      <c r="L30" t="str">
        <f>"002152"</f>
        <v>002152</v>
      </c>
      <c r="M30" t="str">
        <f>"00015"</f>
        <v>00015</v>
      </c>
      <c r="N30" t="s">
        <v>44</v>
      </c>
      <c r="O30">
        <v>375</v>
      </c>
      <c r="Q30" t="s">
        <v>33</v>
      </c>
      <c r="R30" t="s">
        <v>34</v>
      </c>
      <c r="S30" t="s">
        <v>35</v>
      </c>
      <c r="T30" t="s">
        <v>35</v>
      </c>
      <c r="U30" t="s">
        <v>34</v>
      </c>
      <c r="V30" t="str">
        <f>""</f>
        <v/>
      </c>
      <c r="W30">
        <v>20150422</v>
      </c>
      <c r="X30" t="s">
        <v>36</v>
      </c>
      <c r="Y30" t="s">
        <v>85</v>
      </c>
      <c r="Z30" t="s">
        <v>85</v>
      </c>
      <c r="AA30">
        <v>0</v>
      </c>
      <c r="AB30" t="s">
        <v>38</v>
      </c>
      <c r="AC30" t="s">
        <v>39</v>
      </c>
      <c r="AD30" t="s">
        <v>40</v>
      </c>
      <c r="AE30" t="str">
        <f t="shared" si="6"/>
        <v>04</v>
      </c>
      <c r="AF30" t="s">
        <v>40</v>
      </c>
    </row>
    <row r="31" spans="1:32" x14ac:dyDescent="0.25">
      <c r="A31">
        <v>5</v>
      </c>
      <c r="B31">
        <v>865</v>
      </c>
      <c r="C31" t="str">
        <f t="shared" si="0"/>
        <v>00</v>
      </c>
      <c r="D31">
        <v>2190</v>
      </c>
      <c r="E31" t="str">
        <f>"49"</f>
        <v>49</v>
      </c>
      <c r="F31" t="str">
        <f t="shared" si="1"/>
        <v>000</v>
      </c>
      <c r="G31">
        <v>5</v>
      </c>
      <c r="H31" t="str">
        <f t="shared" si="2"/>
        <v>00</v>
      </c>
      <c r="I31" t="str">
        <f t="shared" si="3"/>
        <v>0</v>
      </c>
      <c r="J31" t="str">
        <f t="shared" si="4"/>
        <v>00</v>
      </c>
      <c r="K31">
        <v>20150430</v>
      </c>
      <c r="L31" t="str">
        <f>"002153"</f>
        <v>002153</v>
      </c>
      <c r="M31" t="str">
        <f>"00650"</f>
        <v>00650</v>
      </c>
      <c r="N31" t="s">
        <v>86</v>
      </c>
      <c r="O31">
        <v>116</v>
      </c>
      <c r="Q31" t="s">
        <v>33</v>
      </c>
      <c r="R31" t="s">
        <v>34</v>
      </c>
      <c r="S31" t="s">
        <v>35</v>
      </c>
      <c r="T31" t="s">
        <v>35</v>
      </c>
      <c r="U31" t="s">
        <v>34</v>
      </c>
      <c r="V31" t="str">
        <f>""</f>
        <v/>
      </c>
      <c r="W31">
        <v>20150429</v>
      </c>
      <c r="X31" t="s">
        <v>45</v>
      </c>
      <c r="Y31" t="s">
        <v>87</v>
      </c>
      <c r="Z31" t="s">
        <v>87</v>
      </c>
      <c r="AA31">
        <v>0</v>
      </c>
      <c r="AB31" t="s">
        <v>38</v>
      </c>
      <c r="AC31" t="s">
        <v>39</v>
      </c>
      <c r="AD31" t="s">
        <v>40</v>
      </c>
      <c r="AE31" t="str">
        <f t="shared" si="6"/>
        <v>04</v>
      </c>
      <c r="AF31" t="s">
        <v>40</v>
      </c>
    </row>
    <row r="32" spans="1:32" x14ac:dyDescent="0.25">
      <c r="A32">
        <v>5</v>
      </c>
      <c r="B32">
        <v>865</v>
      </c>
      <c r="C32" t="str">
        <f t="shared" si="0"/>
        <v>00</v>
      </c>
      <c r="D32">
        <v>2190</v>
      </c>
      <c r="E32" t="str">
        <f>"27"</f>
        <v>27</v>
      </c>
      <c r="F32" t="str">
        <f t="shared" si="1"/>
        <v>000</v>
      </c>
      <c r="G32">
        <v>5</v>
      </c>
      <c r="H32" t="str">
        <f t="shared" si="2"/>
        <v>00</v>
      </c>
      <c r="I32" t="str">
        <f t="shared" si="3"/>
        <v>0</v>
      </c>
      <c r="J32" t="str">
        <f t="shared" si="4"/>
        <v>00</v>
      </c>
      <c r="K32">
        <v>20150430</v>
      </c>
      <c r="L32" t="str">
        <f>"002154"</f>
        <v>002154</v>
      </c>
      <c r="M32" t="str">
        <f>"00573"</f>
        <v>00573</v>
      </c>
      <c r="N32" t="s">
        <v>88</v>
      </c>
      <c r="O32">
        <v>205</v>
      </c>
      <c r="Q32" t="s">
        <v>33</v>
      </c>
      <c r="R32" t="s">
        <v>34</v>
      </c>
      <c r="S32" t="s">
        <v>35</v>
      </c>
      <c r="T32" t="s">
        <v>35</v>
      </c>
      <c r="U32" t="s">
        <v>34</v>
      </c>
      <c r="V32" t="str">
        <f>""</f>
        <v/>
      </c>
      <c r="W32">
        <v>20150429</v>
      </c>
      <c r="X32" t="s">
        <v>80</v>
      </c>
      <c r="Y32" t="s">
        <v>89</v>
      </c>
      <c r="Z32" t="s">
        <v>89</v>
      </c>
      <c r="AA32">
        <v>0</v>
      </c>
      <c r="AB32" t="s">
        <v>38</v>
      </c>
      <c r="AC32" t="s">
        <v>39</v>
      </c>
      <c r="AD32" t="s">
        <v>40</v>
      </c>
      <c r="AE32" t="str">
        <f t="shared" si="6"/>
        <v>04</v>
      </c>
      <c r="AF32" t="s">
        <v>40</v>
      </c>
    </row>
    <row r="33" spans="1:32" x14ac:dyDescent="0.25">
      <c r="A33">
        <v>5</v>
      </c>
      <c r="B33">
        <v>865</v>
      </c>
      <c r="C33" t="str">
        <f t="shared" si="0"/>
        <v>00</v>
      </c>
      <c r="D33">
        <v>2190</v>
      </c>
      <c r="E33" t="str">
        <f>"56"</f>
        <v>56</v>
      </c>
      <c r="F33" t="str">
        <f t="shared" si="1"/>
        <v>000</v>
      </c>
      <c r="G33">
        <v>5</v>
      </c>
      <c r="H33" t="str">
        <f t="shared" si="2"/>
        <v>00</v>
      </c>
      <c r="I33" t="str">
        <f t="shared" si="3"/>
        <v>0</v>
      </c>
      <c r="J33" t="str">
        <f t="shared" si="4"/>
        <v>00</v>
      </c>
      <c r="K33">
        <v>20150513</v>
      </c>
      <c r="L33" t="str">
        <f>"002156"</f>
        <v>002156</v>
      </c>
      <c r="M33" t="str">
        <f>"00567"</f>
        <v>00567</v>
      </c>
      <c r="N33" t="s">
        <v>90</v>
      </c>
      <c r="O33">
        <v>865.04</v>
      </c>
      <c r="Q33" t="s">
        <v>33</v>
      </c>
      <c r="R33" t="s">
        <v>34</v>
      </c>
      <c r="S33" t="s">
        <v>35</v>
      </c>
      <c r="T33" t="s">
        <v>35</v>
      </c>
      <c r="U33" t="s">
        <v>34</v>
      </c>
      <c r="V33" t="str">
        <f>""</f>
        <v/>
      </c>
      <c r="W33">
        <v>20150512</v>
      </c>
      <c r="X33" t="s">
        <v>73</v>
      </c>
      <c r="Y33" t="s">
        <v>91</v>
      </c>
      <c r="Z33" t="s">
        <v>91</v>
      </c>
      <c r="AA33">
        <v>0</v>
      </c>
      <c r="AB33" t="s">
        <v>38</v>
      </c>
      <c r="AC33" t="s">
        <v>39</v>
      </c>
      <c r="AD33" t="s">
        <v>40</v>
      </c>
      <c r="AE33" t="str">
        <f t="shared" ref="AE33:AE55" si="7">"05"</f>
        <v>05</v>
      </c>
      <c r="AF33" t="s">
        <v>40</v>
      </c>
    </row>
    <row r="34" spans="1:32" x14ac:dyDescent="0.25">
      <c r="A34">
        <v>5</v>
      </c>
      <c r="B34">
        <v>865</v>
      </c>
      <c r="C34" t="str">
        <f t="shared" ref="C34:C65" si="8">"00"</f>
        <v>00</v>
      </c>
      <c r="D34">
        <v>2190</v>
      </c>
      <c r="E34" t="str">
        <f>"21"</f>
        <v>21</v>
      </c>
      <c r="F34" t="str">
        <f t="shared" ref="F34:F65" si="9">"000"</f>
        <v>000</v>
      </c>
      <c r="G34">
        <v>5</v>
      </c>
      <c r="H34" t="str">
        <f t="shared" ref="H34:H65" si="10">"00"</f>
        <v>00</v>
      </c>
      <c r="I34" t="str">
        <f t="shared" si="3"/>
        <v>0</v>
      </c>
      <c r="J34" t="str">
        <f t="shared" ref="J34:J65" si="11">"00"</f>
        <v>00</v>
      </c>
      <c r="K34">
        <v>20150513</v>
      </c>
      <c r="L34" t="str">
        <f>"002157"</f>
        <v>002157</v>
      </c>
      <c r="M34" t="str">
        <f>"00444"</f>
        <v>00444</v>
      </c>
      <c r="N34" t="s">
        <v>41</v>
      </c>
      <c r="O34">
        <v>120</v>
      </c>
      <c r="Q34" t="s">
        <v>33</v>
      </c>
      <c r="R34" t="s">
        <v>34</v>
      </c>
      <c r="S34" t="s">
        <v>35</v>
      </c>
      <c r="T34" t="s">
        <v>35</v>
      </c>
      <c r="U34" t="s">
        <v>34</v>
      </c>
      <c r="V34" t="str">
        <f>""</f>
        <v/>
      </c>
      <c r="W34">
        <v>20150512</v>
      </c>
      <c r="X34" t="s">
        <v>36</v>
      </c>
      <c r="Y34" t="s">
        <v>92</v>
      </c>
      <c r="Z34" t="s">
        <v>92</v>
      </c>
      <c r="AA34">
        <v>0</v>
      </c>
      <c r="AB34" t="s">
        <v>38</v>
      </c>
      <c r="AC34" t="s">
        <v>39</v>
      </c>
      <c r="AD34" t="s">
        <v>40</v>
      </c>
      <c r="AE34" t="str">
        <f t="shared" si="7"/>
        <v>05</v>
      </c>
      <c r="AF34" t="s">
        <v>40</v>
      </c>
    </row>
    <row r="35" spans="1:32" x14ac:dyDescent="0.25">
      <c r="A35">
        <v>5</v>
      </c>
      <c r="B35">
        <v>865</v>
      </c>
      <c r="C35" t="str">
        <f t="shared" si="8"/>
        <v>00</v>
      </c>
      <c r="D35">
        <v>2190</v>
      </c>
      <c r="E35" t="str">
        <f>"21"</f>
        <v>21</v>
      </c>
      <c r="F35" t="str">
        <f t="shared" si="9"/>
        <v>000</v>
      </c>
      <c r="G35">
        <v>5</v>
      </c>
      <c r="H35" t="str">
        <f t="shared" si="10"/>
        <v>00</v>
      </c>
      <c r="I35" t="str">
        <f t="shared" si="3"/>
        <v>0</v>
      </c>
      <c r="J35" t="str">
        <f t="shared" si="11"/>
        <v>00</v>
      </c>
      <c r="K35">
        <v>20150513</v>
      </c>
      <c r="L35" t="str">
        <f>"002157"</f>
        <v>002157</v>
      </c>
      <c r="M35" t="str">
        <f>"00444"</f>
        <v>00444</v>
      </c>
      <c r="N35" t="s">
        <v>41</v>
      </c>
      <c r="O35">
        <v>325.5</v>
      </c>
      <c r="Q35" t="s">
        <v>33</v>
      </c>
      <c r="R35" t="s">
        <v>34</v>
      </c>
      <c r="S35" t="s">
        <v>35</v>
      </c>
      <c r="T35" t="s">
        <v>35</v>
      </c>
      <c r="U35" t="s">
        <v>34</v>
      </c>
      <c r="V35" t="str">
        <f>""</f>
        <v/>
      </c>
      <c r="W35">
        <v>20150512</v>
      </c>
      <c r="X35" t="s">
        <v>36</v>
      </c>
      <c r="Y35" t="s">
        <v>92</v>
      </c>
      <c r="Z35" t="s">
        <v>92</v>
      </c>
      <c r="AA35">
        <v>0</v>
      </c>
      <c r="AB35" t="s">
        <v>38</v>
      </c>
      <c r="AC35" t="s">
        <v>39</v>
      </c>
      <c r="AD35" t="s">
        <v>40</v>
      </c>
      <c r="AE35" t="str">
        <f t="shared" si="7"/>
        <v>05</v>
      </c>
      <c r="AF35" t="s">
        <v>40</v>
      </c>
    </row>
    <row r="36" spans="1:32" x14ac:dyDescent="0.25">
      <c r="A36">
        <v>5</v>
      </c>
      <c r="B36">
        <v>865</v>
      </c>
      <c r="C36" t="str">
        <f t="shared" si="8"/>
        <v>00</v>
      </c>
      <c r="D36">
        <v>2190</v>
      </c>
      <c r="E36" t="str">
        <f>"27"</f>
        <v>27</v>
      </c>
      <c r="F36" t="str">
        <f t="shared" si="9"/>
        <v>000</v>
      </c>
      <c r="G36">
        <v>5</v>
      </c>
      <c r="H36" t="str">
        <f t="shared" si="10"/>
        <v>00</v>
      </c>
      <c r="I36" t="str">
        <f t="shared" si="3"/>
        <v>0</v>
      </c>
      <c r="J36" t="str">
        <f t="shared" si="11"/>
        <v>00</v>
      </c>
      <c r="K36">
        <v>20150513</v>
      </c>
      <c r="L36" t="str">
        <f>"002157"</f>
        <v>002157</v>
      </c>
      <c r="M36" t="str">
        <f>"00444"</f>
        <v>00444</v>
      </c>
      <c r="N36" t="s">
        <v>41</v>
      </c>
      <c r="O36">
        <v>50</v>
      </c>
      <c r="Q36" t="s">
        <v>33</v>
      </c>
      <c r="R36" t="s">
        <v>34</v>
      </c>
      <c r="S36" t="s">
        <v>35</v>
      </c>
      <c r="T36" t="s">
        <v>35</v>
      </c>
      <c r="U36" t="s">
        <v>34</v>
      </c>
      <c r="V36" t="str">
        <f>""</f>
        <v/>
      </c>
      <c r="W36">
        <v>20150512</v>
      </c>
      <c r="X36" t="s">
        <v>80</v>
      </c>
      <c r="Y36" t="s">
        <v>93</v>
      </c>
      <c r="Z36" t="s">
        <v>93</v>
      </c>
      <c r="AA36">
        <v>0</v>
      </c>
      <c r="AB36" t="s">
        <v>38</v>
      </c>
      <c r="AC36" t="s">
        <v>39</v>
      </c>
      <c r="AD36" t="s">
        <v>40</v>
      </c>
      <c r="AE36" t="str">
        <f t="shared" si="7"/>
        <v>05</v>
      </c>
      <c r="AF36" t="s">
        <v>40</v>
      </c>
    </row>
    <row r="37" spans="1:32" x14ac:dyDescent="0.25">
      <c r="A37">
        <v>5</v>
      </c>
      <c r="B37">
        <v>865</v>
      </c>
      <c r="C37" t="str">
        <f t="shared" si="8"/>
        <v>00</v>
      </c>
      <c r="D37">
        <v>2190</v>
      </c>
      <c r="E37" t="str">
        <f>"56"</f>
        <v>56</v>
      </c>
      <c r="F37" t="str">
        <f t="shared" si="9"/>
        <v>000</v>
      </c>
      <c r="G37">
        <v>5</v>
      </c>
      <c r="H37" t="str">
        <f t="shared" si="10"/>
        <v>00</v>
      </c>
      <c r="I37" t="str">
        <f t="shared" si="3"/>
        <v>0</v>
      </c>
      <c r="J37" t="str">
        <f t="shared" si="11"/>
        <v>00</v>
      </c>
      <c r="K37">
        <v>20150513</v>
      </c>
      <c r="L37" t="str">
        <f>"002158"</f>
        <v>002158</v>
      </c>
      <c r="M37" t="str">
        <f>"00444"</f>
        <v>00444</v>
      </c>
      <c r="N37" t="s">
        <v>41</v>
      </c>
      <c r="O37">
        <v>140</v>
      </c>
      <c r="Q37" t="s">
        <v>33</v>
      </c>
      <c r="R37" t="s">
        <v>34</v>
      </c>
      <c r="S37" t="s">
        <v>35</v>
      </c>
      <c r="T37" t="s">
        <v>35</v>
      </c>
      <c r="U37" t="s">
        <v>34</v>
      </c>
      <c r="V37" t="str">
        <f>""</f>
        <v/>
      </c>
      <c r="W37">
        <v>20150512</v>
      </c>
      <c r="X37" t="s">
        <v>73</v>
      </c>
      <c r="Y37" t="s">
        <v>94</v>
      </c>
      <c r="Z37" t="s">
        <v>94</v>
      </c>
      <c r="AA37">
        <v>0</v>
      </c>
      <c r="AB37" t="s">
        <v>38</v>
      </c>
      <c r="AC37" t="s">
        <v>39</v>
      </c>
      <c r="AD37" t="s">
        <v>40</v>
      </c>
      <c r="AE37" t="str">
        <f t="shared" si="7"/>
        <v>05</v>
      </c>
      <c r="AF37" t="s">
        <v>40</v>
      </c>
    </row>
    <row r="38" spans="1:32" x14ac:dyDescent="0.25">
      <c r="A38">
        <v>5</v>
      </c>
      <c r="B38">
        <v>865</v>
      </c>
      <c r="C38" t="str">
        <f t="shared" si="8"/>
        <v>00</v>
      </c>
      <c r="D38">
        <v>2190</v>
      </c>
      <c r="E38" t="str">
        <f>"43"</f>
        <v>43</v>
      </c>
      <c r="F38" t="str">
        <f t="shared" si="9"/>
        <v>000</v>
      </c>
      <c r="G38">
        <v>5</v>
      </c>
      <c r="H38" t="str">
        <f t="shared" si="10"/>
        <v>00</v>
      </c>
      <c r="I38" t="str">
        <f t="shared" si="3"/>
        <v>0</v>
      </c>
      <c r="J38" t="str">
        <f t="shared" si="11"/>
        <v>00</v>
      </c>
      <c r="K38">
        <v>20150515</v>
      </c>
      <c r="L38" t="str">
        <f>"002159"</f>
        <v>002159</v>
      </c>
      <c r="M38" t="str">
        <f>"00862"</f>
        <v>00862</v>
      </c>
      <c r="N38" t="s">
        <v>95</v>
      </c>
      <c r="O38">
        <v>492</v>
      </c>
      <c r="Q38" t="s">
        <v>33</v>
      </c>
      <c r="R38" t="s">
        <v>34</v>
      </c>
      <c r="S38" t="s">
        <v>35</v>
      </c>
      <c r="T38" t="s">
        <v>35</v>
      </c>
      <c r="U38" t="s">
        <v>34</v>
      </c>
      <c r="V38" t="str">
        <f>""</f>
        <v/>
      </c>
      <c r="W38">
        <v>20150515</v>
      </c>
      <c r="X38" t="s">
        <v>96</v>
      </c>
      <c r="Y38" t="s">
        <v>97</v>
      </c>
      <c r="Z38" t="s">
        <v>97</v>
      </c>
      <c r="AA38">
        <v>0</v>
      </c>
      <c r="AB38" t="s">
        <v>38</v>
      </c>
      <c r="AC38" t="s">
        <v>39</v>
      </c>
      <c r="AD38" t="s">
        <v>40</v>
      </c>
      <c r="AE38" t="str">
        <f t="shared" si="7"/>
        <v>05</v>
      </c>
      <c r="AF38" t="s">
        <v>40</v>
      </c>
    </row>
    <row r="39" spans="1:32" x14ac:dyDescent="0.25">
      <c r="A39">
        <v>5</v>
      </c>
      <c r="B39">
        <v>865</v>
      </c>
      <c r="C39" t="str">
        <f t="shared" si="8"/>
        <v>00</v>
      </c>
      <c r="D39">
        <v>2190</v>
      </c>
      <c r="E39" t="str">
        <f t="shared" ref="E39:E47" si="12">"21"</f>
        <v>21</v>
      </c>
      <c r="F39" t="str">
        <f t="shared" si="9"/>
        <v>000</v>
      </c>
      <c r="G39">
        <v>5</v>
      </c>
      <c r="H39" t="str">
        <f t="shared" si="10"/>
        <v>00</v>
      </c>
      <c r="I39" t="str">
        <f t="shared" si="3"/>
        <v>0</v>
      </c>
      <c r="J39" t="str">
        <f t="shared" si="11"/>
        <v>00</v>
      </c>
      <c r="K39">
        <v>20150520</v>
      </c>
      <c r="L39" t="str">
        <f>"002160"</f>
        <v>002160</v>
      </c>
      <c r="M39" t="str">
        <f>"00863"</f>
        <v>00863</v>
      </c>
      <c r="N39" t="s">
        <v>98</v>
      </c>
      <c r="O39">
        <v>500</v>
      </c>
      <c r="Q39" t="s">
        <v>33</v>
      </c>
      <c r="R39" t="s">
        <v>34</v>
      </c>
      <c r="S39" t="s">
        <v>35</v>
      </c>
      <c r="T39" t="s">
        <v>35</v>
      </c>
      <c r="U39" t="s">
        <v>34</v>
      </c>
      <c r="V39" t="str">
        <f>""</f>
        <v/>
      </c>
      <c r="W39">
        <v>20150520</v>
      </c>
      <c r="X39" t="s">
        <v>36</v>
      </c>
      <c r="Y39" t="s">
        <v>99</v>
      </c>
      <c r="Z39" t="s">
        <v>99</v>
      </c>
      <c r="AA39">
        <v>0</v>
      </c>
      <c r="AB39" t="s">
        <v>38</v>
      </c>
      <c r="AC39" t="s">
        <v>39</v>
      </c>
      <c r="AD39" t="s">
        <v>40</v>
      </c>
      <c r="AE39" t="str">
        <f t="shared" si="7"/>
        <v>05</v>
      </c>
      <c r="AF39" t="s">
        <v>40</v>
      </c>
    </row>
    <row r="40" spans="1:32" x14ac:dyDescent="0.25">
      <c r="A40">
        <v>5</v>
      </c>
      <c r="B40">
        <v>865</v>
      </c>
      <c r="C40" t="str">
        <f t="shared" si="8"/>
        <v>00</v>
      </c>
      <c r="D40">
        <v>2190</v>
      </c>
      <c r="E40" t="str">
        <f t="shared" si="12"/>
        <v>21</v>
      </c>
      <c r="F40" t="str">
        <f t="shared" si="9"/>
        <v>000</v>
      </c>
      <c r="G40">
        <v>5</v>
      </c>
      <c r="H40" t="str">
        <f t="shared" si="10"/>
        <v>00</v>
      </c>
      <c r="I40" t="str">
        <f t="shared" si="3"/>
        <v>0</v>
      </c>
      <c r="J40" t="str">
        <f t="shared" si="11"/>
        <v>00</v>
      </c>
      <c r="K40">
        <v>20150520</v>
      </c>
      <c r="L40" t="str">
        <f>"002161"</f>
        <v>002161</v>
      </c>
      <c r="M40" t="str">
        <f>"00869"</f>
        <v>00869</v>
      </c>
      <c r="N40" t="s">
        <v>100</v>
      </c>
      <c r="O40" s="1">
        <v>1891</v>
      </c>
      <c r="Q40" t="s">
        <v>33</v>
      </c>
      <c r="R40" t="s">
        <v>34</v>
      </c>
      <c r="S40" t="s">
        <v>35</v>
      </c>
      <c r="T40" t="s">
        <v>35</v>
      </c>
      <c r="U40" t="s">
        <v>34</v>
      </c>
      <c r="V40" t="str">
        <f>""</f>
        <v/>
      </c>
      <c r="W40">
        <v>20150520</v>
      </c>
      <c r="X40" t="s">
        <v>36</v>
      </c>
      <c r="Y40" t="s">
        <v>101</v>
      </c>
      <c r="Z40" t="s">
        <v>101</v>
      </c>
      <c r="AA40">
        <v>0</v>
      </c>
      <c r="AB40" t="s">
        <v>38</v>
      </c>
      <c r="AC40" t="s">
        <v>39</v>
      </c>
      <c r="AD40" t="s">
        <v>40</v>
      </c>
      <c r="AE40" t="str">
        <f t="shared" si="7"/>
        <v>05</v>
      </c>
      <c r="AF40" t="s">
        <v>40</v>
      </c>
    </row>
    <row r="41" spans="1:32" x14ac:dyDescent="0.25">
      <c r="A41">
        <v>5</v>
      </c>
      <c r="B41">
        <v>865</v>
      </c>
      <c r="C41" t="str">
        <f t="shared" si="8"/>
        <v>00</v>
      </c>
      <c r="D41">
        <v>2190</v>
      </c>
      <c r="E41" t="str">
        <f t="shared" si="12"/>
        <v>21</v>
      </c>
      <c r="F41" t="str">
        <f t="shared" si="9"/>
        <v>000</v>
      </c>
      <c r="G41">
        <v>5</v>
      </c>
      <c r="H41" t="str">
        <f t="shared" si="10"/>
        <v>00</v>
      </c>
      <c r="I41" t="str">
        <f t="shared" si="3"/>
        <v>0</v>
      </c>
      <c r="J41" t="str">
        <f t="shared" si="11"/>
        <v>00</v>
      </c>
      <c r="K41">
        <v>20150520</v>
      </c>
      <c r="L41" t="str">
        <f>"002162"</f>
        <v>002162</v>
      </c>
      <c r="M41" t="str">
        <f>"00857"</f>
        <v>00857</v>
      </c>
      <c r="N41" t="s">
        <v>102</v>
      </c>
      <c r="O41">
        <v>100</v>
      </c>
      <c r="Q41" t="s">
        <v>33</v>
      </c>
      <c r="R41" t="s">
        <v>34</v>
      </c>
      <c r="S41" t="s">
        <v>35</v>
      </c>
      <c r="T41" t="s">
        <v>35</v>
      </c>
      <c r="U41" t="s">
        <v>34</v>
      </c>
      <c r="V41" t="str">
        <f>""</f>
        <v/>
      </c>
      <c r="W41">
        <v>20150518</v>
      </c>
      <c r="X41" t="s">
        <v>36</v>
      </c>
      <c r="Y41" t="s">
        <v>103</v>
      </c>
      <c r="Z41" t="s">
        <v>103</v>
      </c>
      <c r="AA41">
        <v>0</v>
      </c>
      <c r="AB41" t="s">
        <v>38</v>
      </c>
      <c r="AC41" t="s">
        <v>39</v>
      </c>
      <c r="AD41" t="s">
        <v>40</v>
      </c>
      <c r="AE41" t="str">
        <f t="shared" si="7"/>
        <v>05</v>
      </c>
      <c r="AF41" t="s">
        <v>40</v>
      </c>
    </row>
    <row r="42" spans="1:32" x14ac:dyDescent="0.25">
      <c r="A42">
        <v>5</v>
      </c>
      <c r="B42">
        <v>865</v>
      </c>
      <c r="C42" t="str">
        <f t="shared" si="8"/>
        <v>00</v>
      </c>
      <c r="D42">
        <v>2190</v>
      </c>
      <c r="E42" t="str">
        <f t="shared" si="12"/>
        <v>21</v>
      </c>
      <c r="F42" t="str">
        <f t="shared" si="9"/>
        <v>000</v>
      </c>
      <c r="G42">
        <v>5</v>
      </c>
      <c r="H42" t="str">
        <f t="shared" si="10"/>
        <v>00</v>
      </c>
      <c r="I42" t="str">
        <f t="shared" si="3"/>
        <v>0</v>
      </c>
      <c r="J42" t="str">
        <f t="shared" si="11"/>
        <v>00</v>
      </c>
      <c r="K42">
        <v>20150527</v>
      </c>
      <c r="L42" t="str">
        <f t="shared" ref="L42:L51" si="13">"002163"</f>
        <v>002163</v>
      </c>
      <c r="M42" t="str">
        <f t="shared" ref="M42:M51" si="14">"00015"</f>
        <v>00015</v>
      </c>
      <c r="N42" t="s">
        <v>44</v>
      </c>
      <c r="O42">
        <v>50</v>
      </c>
      <c r="Q42" t="s">
        <v>33</v>
      </c>
      <c r="R42" t="s">
        <v>34</v>
      </c>
      <c r="S42" t="s">
        <v>35</v>
      </c>
      <c r="T42" t="s">
        <v>35</v>
      </c>
      <c r="U42" t="s">
        <v>34</v>
      </c>
      <c r="V42" t="str">
        <f>""</f>
        <v/>
      </c>
      <c r="W42">
        <v>20150527</v>
      </c>
      <c r="X42" t="s">
        <v>36</v>
      </c>
      <c r="Y42" t="s">
        <v>104</v>
      </c>
      <c r="Z42" t="s">
        <v>104</v>
      </c>
      <c r="AA42">
        <v>0</v>
      </c>
      <c r="AB42" t="s">
        <v>38</v>
      </c>
      <c r="AC42" t="s">
        <v>39</v>
      </c>
      <c r="AD42" t="s">
        <v>40</v>
      </c>
      <c r="AE42" t="str">
        <f t="shared" si="7"/>
        <v>05</v>
      </c>
      <c r="AF42" t="s">
        <v>40</v>
      </c>
    </row>
    <row r="43" spans="1:32" x14ac:dyDescent="0.25">
      <c r="A43">
        <v>5</v>
      </c>
      <c r="B43">
        <v>865</v>
      </c>
      <c r="C43" t="str">
        <f t="shared" si="8"/>
        <v>00</v>
      </c>
      <c r="D43">
        <v>2190</v>
      </c>
      <c r="E43" t="str">
        <f t="shared" si="12"/>
        <v>21</v>
      </c>
      <c r="F43" t="str">
        <f t="shared" si="9"/>
        <v>000</v>
      </c>
      <c r="G43">
        <v>5</v>
      </c>
      <c r="H43" t="str">
        <f t="shared" si="10"/>
        <v>00</v>
      </c>
      <c r="I43" t="str">
        <f t="shared" si="3"/>
        <v>0</v>
      </c>
      <c r="J43" t="str">
        <f t="shared" si="11"/>
        <v>00</v>
      </c>
      <c r="K43">
        <v>20150527</v>
      </c>
      <c r="L43" t="str">
        <f t="shared" si="13"/>
        <v>002163</v>
      </c>
      <c r="M43" t="str">
        <f t="shared" si="14"/>
        <v>00015</v>
      </c>
      <c r="N43" t="s">
        <v>44</v>
      </c>
      <c r="O43">
        <v>38</v>
      </c>
      <c r="Q43" t="s">
        <v>33</v>
      </c>
      <c r="R43" t="s">
        <v>34</v>
      </c>
      <c r="S43" t="s">
        <v>35</v>
      </c>
      <c r="T43" t="s">
        <v>35</v>
      </c>
      <c r="U43" t="s">
        <v>34</v>
      </c>
      <c r="V43" t="str">
        <f>""</f>
        <v/>
      </c>
      <c r="W43">
        <v>20150527</v>
      </c>
      <c r="X43" t="s">
        <v>36</v>
      </c>
      <c r="Y43" t="s">
        <v>105</v>
      </c>
      <c r="Z43" t="s">
        <v>105</v>
      </c>
      <c r="AA43">
        <v>0</v>
      </c>
      <c r="AB43" t="s">
        <v>38</v>
      </c>
      <c r="AC43" t="s">
        <v>39</v>
      </c>
      <c r="AD43" t="s">
        <v>40</v>
      </c>
      <c r="AE43" t="str">
        <f t="shared" si="7"/>
        <v>05</v>
      </c>
      <c r="AF43" t="s">
        <v>40</v>
      </c>
    </row>
    <row r="44" spans="1:32" x14ac:dyDescent="0.25">
      <c r="A44">
        <v>5</v>
      </c>
      <c r="B44">
        <v>865</v>
      </c>
      <c r="C44" t="str">
        <f t="shared" si="8"/>
        <v>00</v>
      </c>
      <c r="D44">
        <v>2190</v>
      </c>
      <c r="E44" t="str">
        <f t="shared" si="12"/>
        <v>21</v>
      </c>
      <c r="F44" t="str">
        <f t="shared" si="9"/>
        <v>000</v>
      </c>
      <c r="G44">
        <v>5</v>
      </c>
      <c r="H44" t="str">
        <f t="shared" si="10"/>
        <v>00</v>
      </c>
      <c r="I44" t="str">
        <f t="shared" si="3"/>
        <v>0</v>
      </c>
      <c r="J44" t="str">
        <f t="shared" si="11"/>
        <v>00</v>
      </c>
      <c r="K44">
        <v>20150527</v>
      </c>
      <c r="L44" t="str">
        <f t="shared" si="13"/>
        <v>002163</v>
      </c>
      <c r="M44" t="str">
        <f t="shared" si="14"/>
        <v>00015</v>
      </c>
      <c r="N44" t="s">
        <v>44</v>
      </c>
      <c r="O44">
        <v>175.71</v>
      </c>
      <c r="Q44" t="s">
        <v>33</v>
      </c>
      <c r="R44" t="s">
        <v>34</v>
      </c>
      <c r="S44" t="s">
        <v>35</v>
      </c>
      <c r="T44" t="s">
        <v>35</v>
      </c>
      <c r="U44" t="s">
        <v>34</v>
      </c>
      <c r="V44" t="str">
        <f>""</f>
        <v/>
      </c>
      <c r="W44">
        <v>20150527</v>
      </c>
      <c r="X44" t="s">
        <v>36</v>
      </c>
      <c r="Y44" t="s">
        <v>106</v>
      </c>
      <c r="Z44" t="s">
        <v>106</v>
      </c>
      <c r="AA44">
        <v>0</v>
      </c>
      <c r="AB44" t="s">
        <v>38</v>
      </c>
      <c r="AC44" t="s">
        <v>39</v>
      </c>
      <c r="AD44" t="s">
        <v>40</v>
      </c>
      <c r="AE44" t="str">
        <f t="shared" si="7"/>
        <v>05</v>
      </c>
      <c r="AF44" t="s">
        <v>40</v>
      </c>
    </row>
    <row r="45" spans="1:32" x14ac:dyDescent="0.25">
      <c r="A45">
        <v>5</v>
      </c>
      <c r="B45">
        <v>865</v>
      </c>
      <c r="C45" t="str">
        <f t="shared" si="8"/>
        <v>00</v>
      </c>
      <c r="D45">
        <v>2190</v>
      </c>
      <c r="E45" t="str">
        <f t="shared" si="12"/>
        <v>21</v>
      </c>
      <c r="F45" t="str">
        <f t="shared" si="9"/>
        <v>000</v>
      </c>
      <c r="G45">
        <v>5</v>
      </c>
      <c r="H45" t="str">
        <f t="shared" si="10"/>
        <v>00</v>
      </c>
      <c r="I45" t="str">
        <f t="shared" si="3"/>
        <v>0</v>
      </c>
      <c r="J45" t="str">
        <f t="shared" si="11"/>
        <v>00</v>
      </c>
      <c r="K45">
        <v>20150527</v>
      </c>
      <c r="L45" t="str">
        <f t="shared" si="13"/>
        <v>002163</v>
      </c>
      <c r="M45" t="str">
        <f t="shared" si="14"/>
        <v>00015</v>
      </c>
      <c r="N45" t="s">
        <v>44</v>
      </c>
      <c r="O45">
        <v>201.05</v>
      </c>
      <c r="Q45" t="s">
        <v>33</v>
      </c>
      <c r="R45" t="s">
        <v>34</v>
      </c>
      <c r="S45" t="s">
        <v>35</v>
      </c>
      <c r="T45" t="s">
        <v>35</v>
      </c>
      <c r="U45" t="s">
        <v>34</v>
      </c>
      <c r="V45" t="str">
        <f>""</f>
        <v/>
      </c>
      <c r="W45">
        <v>20150527</v>
      </c>
      <c r="X45" t="s">
        <v>36</v>
      </c>
      <c r="Y45" t="s">
        <v>107</v>
      </c>
      <c r="Z45" t="s">
        <v>107</v>
      </c>
      <c r="AA45">
        <v>0</v>
      </c>
      <c r="AB45" t="s">
        <v>38</v>
      </c>
      <c r="AC45" t="s">
        <v>39</v>
      </c>
      <c r="AD45" t="s">
        <v>40</v>
      </c>
      <c r="AE45" t="str">
        <f t="shared" si="7"/>
        <v>05</v>
      </c>
      <c r="AF45" t="s">
        <v>40</v>
      </c>
    </row>
    <row r="46" spans="1:32" x14ac:dyDescent="0.25">
      <c r="A46">
        <v>5</v>
      </c>
      <c r="B46">
        <v>865</v>
      </c>
      <c r="C46" t="str">
        <f t="shared" si="8"/>
        <v>00</v>
      </c>
      <c r="D46">
        <v>2190</v>
      </c>
      <c r="E46" t="str">
        <f t="shared" si="12"/>
        <v>21</v>
      </c>
      <c r="F46" t="str">
        <f t="shared" si="9"/>
        <v>000</v>
      </c>
      <c r="G46">
        <v>5</v>
      </c>
      <c r="H46" t="str">
        <f t="shared" si="10"/>
        <v>00</v>
      </c>
      <c r="I46" t="str">
        <f t="shared" si="3"/>
        <v>0</v>
      </c>
      <c r="J46" t="str">
        <f t="shared" si="11"/>
        <v>00</v>
      </c>
      <c r="K46">
        <v>20150527</v>
      </c>
      <c r="L46" t="str">
        <f t="shared" si="13"/>
        <v>002163</v>
      </c>
      <c r="M46" t="str">
        <f t="shared" si="14"/>
        <v>00015</v>
      </c>
      <c r="N46" t="s">
        <v>44</v>
      </c>
      <c r="O46">
        <v>68.5</v>
      </c>
      <c r="Q46" t="s">
        <v>33</v>
      </c>
      <c r="R46" t="s">
        <v>34</v>
      </c>
      <c r="S46" t="s">
        <v>35</v>
      </c>
      <c r="T46" t="s">
        <v>35</v>
      </c>
      <c r="U46" t="s">
        <v>34</v>
      </c>
      <c r="V46" t="str">
        <f>""</f>
        <v/>
      </c>
      <c r="W46">
        <v>20150527</v>
      </c>
      <c r="X46" t="s">
        <v>36</v>
      </c>
      <c r="Y46" t="s">
        <v>105</v>
      </c>
      <c r="Z46" t="s">
        <v>105</v>
      </c>
      <c r="AA46">
        <v>0</v>
      </c>
      <c r="AB46" t="s">
        <v>38</v>
      </c>
      <c r="AC46" t="s">
        <v>39</v>
      </c>
      <c r="AD46" t="s">
        <v>40</v>
      </c>
      <c r="AE46" t="str">
        <f t="shared" si="7"/>
        <v>05</v>
      </c>
      <c r="AF46" t="s">
        <v>40</v>
      </c>
    </row>
    <row r="47" spans="1:32" x14ac:dyDescent="0.25">
      <c r="A47">
        <v>5</v>
      </c>
      <c r="B47">
        <v>865</v>
      </c>
      <c r="C47" t="str">
        <f t="shared" si="8"/>
        <v>00</v>
      </c>
      <c r="D47">
        <v>2190</v>
      </c>
      <c r="E47" t="str">
        <f t="shared" si="12"/>
        <v>21</v>
      </c>
      <c r="F47" t="str">
        <f t="shared" si="9"/>
        <v>000</v>
      </c>
      <c r="G47">
        <v>5</v>
      </c>
      <c r="H47" t="str">
        <f t="shared" si="10"/>
        <v>00</v>
      </c>
      <c r="I47" t="str">
        <f t="shared" si="3"/>
        <v>0</v>
      </c>
      <c r="J47" t="str">
        <f t="shared" si="11"/>
        <v>00</v>
      </c>
      <c r="K47">
        <v>20150527</v>
      </c>
      <c r="L47" t="str">
        <f t="shared" si="13"/>
        <v>002163</v>
      </c>
      <c r="M47" t="str">
        <f t="shared" si="14"/>
        <v>00015</v>
      </c>
      <c r="N47" t="s">
        <v>44</v>
      </c>
      <c r="O47">
        <v>62.01</v>
      </c>
      <c r="Q47" t="s">
        <v>33</v>
      </c>
      <c r="R47" t="s">
        <v>34</v>
      </c>
      <c r="S47" t="s">
        <v>35</v>
      </c>
      <c r="T47" t="s">
        <v>35</v>
      </c>
      <c r="U47" t="s">
        <v>34</v>
      </c>
      <c r="V47" t="str">
        <f>""</f>
        <v/>
      </c>
      <c r="W47">
        <v>20150527</v>
      </c>
      <c r="X47" t="s">
        <v>36</v>
      </c>
      <c r="Y47" t="s">
        <v>59</v>
      </c>
      <c r="Z47" t="s">
        <v>59</v>
      </c>
      <c r="AA47">
        <v>0</v>
      </c>
      <c r="AB47" t="s">
        <v>38</v>
      </c>
      <c r="AC47" t="s">
        <v>39</v>
      </c>
      <c r="AD47" t="s">
        <v>40</v>
      </c>
      <c r="AE47" t="str">
        <f t="shared" si="7"/>
        <v>05</v>
      </c>
      <c r="AF47" t="s">
        <v>40</v>
      </c>
    </row>
    <row r="48" spans="1:32" x14ac:dyDescent="0.25">
      <c r="A48">
        <v>5</v>
      </c>
      <c r="B48">
        <v>865</v>
      </c>
      <c r="C48" t="str">
        <f t="shared" si="8"/>
        <v>00</v>
      </c>
      <c r="D48">
        <v>2190</v>
      </c>
      <c r="E48" t="str">
        <f>"27"</f>
        <v>27</v>
      </c>
      <c r="F48" t="str">
        <f t="shared" si="9"/>
        <v>000</v>
      </c>
      <c r="G48">
        <v>5</v>
      </c>
      <c r="H48" t="str">
        <f t="shared" si="10"/>
        <v>00</v>
      </c>
      <c r="I48" t="str">
        <f t="shared" si="3"/>
        <v>0</v>
      </c>
      <c r="J48" t="str">
        <f t="shared" si="11"/>
        <v>00</v>
      </c>
      <c r="K48">
        <v>20150527</v>
      </c>
      <c r="L48" t="str">
        <f t="shared" si="13"/>
        <v>002163</v>
      </c>
      <c r="M48" t="str">
        <f t="shared" si="14"/>
        <v>00015</v>
      </c>
      <c r="N48" t="s">
        <v>44</v>
      </c>
      <c r="O48">
        <v>225</v>
      </c>
      <c r="Q48" t="s">
        <v>33</v>
      </c>
      <c r="R48" t="s">
        <v>34</v>
      </c>
      <c r="S48" t="s">
        <v>35</v>
      </c>
      <c r="T48" t="s">
        <v>35</v>
      </c>
      <c r="U48" t="s">
        <v>34</v>
      </c>
      <c r="V48" t="str">
        <f>""</f>
        <v/>
      </c>
      <c r="W48">
        <v>20150527</v>
      </c>
      <c r="X48" t="s">
        <v>80</v>
      </c>
      <c r="Y48" t="s">
        <v>108</v>
      </c>
      <c r="Z48" t="s">
        <v>108</v>
      </c>
      <c r="AA48">
        <v>0</v>
      </c>
      <c r="AB48" t="s">
        <v>38</v>
      </c>
      <c r="AC48" t="s">
        <v>39</v>
      </c>
      <c r="AD48" t="s">
        <v>40</v>
      </c>
      <c r="AE48" t="str">
        <f t="shared" si="7"/>
        <v>05</v>
      </c>
      <c r="AF48" t="s">
        <v>40</v>
      </c>
    </row>
    <row r="49" spans="1:32" x14ac:dyDescent="0.25">
      <c r="A49">
        <v>5</v>
      </c>
      <c r="B49">
        <v>865</v>
      </c>
      <c r="C49" t="str">
        <f t="shared" si="8"/>
        <v>00</v>
      </c>
      <c r="D49">
        <v>2190</v>
      </c>
      <c r="E49" t="str">
        <f>"27"</f>
        <v>27</v>
      </c>
      <c r="F49" t="str">
        <f t="shared" si="9"/>
        <v>000</v>
      </c>
      <c r="G49">
        <v>5</v>
      </c>
      <c r="H49" t="str">
        <f t="shared" si="10"/>
        <v>00</v>
      </c>
      <c r="I49" t="str">
        <f t="shared" si="3"/>
        <v>0</v>
      </c>
      <c r="J49" t="str">
        <f t="shared" si="11"/>
        <v>00</v>
      </c>
      <c r="K49">
        <v>20150527</v>
      </c>
      <c r="L49" t="str">
        <f t="shared" si="13"/>
        <v>002163</v>
      </c>
      <c r="M49" t="str">
        <f t="shared" si="14"/>
        <v>00015</v>
      </c>
      <c r="N49" t="s">
        <v>44</v>
      </c>
      <c r="O49">
        <v>546</v>
      </c>
      <c r="Q49" t="s">
        <v>33</v>
      </c>
      <c r="R49" t="s">
        <v>34</v>
      </c>
      <c r="S49" t="s">
        <v>35</v>
      </c>
      <c r="T49" t="s">
        <v>35</v>
      </c>
      <c r="U49" t="s">
        <v>34</v>
      </c>
      <c r="V49" t="str">
        <f>""</f>
        <v/>
      </c>
      <c r="W49">
        <v>20150527</v>
      </c>
      <c r="X49" t="s">
        <v>80</v>
      </c>
      <c r="Y49" t="s">
        <v>109</v>
      </c>
      <c r="Z49" t="s">
        <v>109</v>
      </c>
      <c r="AA49">
        <v>0</v>
      </c>
      <c r="AB49" t="s">
        <v>38</v>
      </c>
      <c r="AC49" t="s">
        <v>39</v>
      </c>
      <c r="AD49" t="s">
        <v>40</v>
      </c>
      <c r="AE49" t="str">
        <f t="shared" si="7"/>
        <v>05</v>
      </c>
      <c r="AF49" t="s">
        <v>40</v>
      </c>
    </row>
    <row r="50" spans="1:32" x14ac:dyDescent="0.25">
      <c r="A50">
        <v>5</v>
      </c>
      <c r="B50">
        <v>865</v>
      </c>
      <c r="C50" t="str">
        <f t="shared" si="8"/>
        <v>00</v>
      </c>
      <c r="D50">
        <v>2190</v>
      </c>
      <c r="E50" t="str">
        <f>"27"</f>
        <v>27</v>
      </c>
      <c r="F50" t="str">
        <f t="shared" si="9"/>
        <v>000</v>
      </c>
      <c r="G50">
        <v>5</v>
      </c>
      <c r="H50" t="str">
        <f t="shared" si="10"/>
        <v>00</v>
      </c>
      <c r="I50" t="str">
        <f t="shared" si="3"/>
        <v>0</v>
      </c>
      <c r="J50" t="str">
        <f t="shared" si="11"/>
        <v>00</v>
      </c>
      <c r="K50">
        <v>20150527</v>
      </c>
      <c r="L50" t="str">
        <f t="shared" si="13"/>
        <v>002163</v>
      </c>
      <c r="M50" t="str">
        <f t="shared" si="14"/>
        <v>00015</v>
      </c>
      <c r="N50" t="s">
        <v>44</v>
      </c>
      <c r="O50">
        <v>20</v>
      </c>
      <c r="Q50" t="s">
        <v>33</v>
      </c>
      <c r="R50" t="s">
        <v>34</v>
      </c>
      <c r="S50" t="s">
        <v>35</v>
      </c>
      <c r="T50" t="s">
        <v>35</v>
      </c>
      <c r="U50" t="s">
        <v>34</v>
      </c>
      <c r="V50" t="str">
        <f>""</f>
        <v/>
      </c>
      <c r="W50">
        <v>20150527</v>
      </c>
      <c r="X50" t="s">
        <v>80</v>
      </c>
      <c r="Y50" t="s">
        <v>109</v>
      </c>
      <c r="Z50" t="s">
        <v>109</v>
      </c>
      <c r="AA50">
        <v>0</v>
      </c>
      <c r="AB50" t="s">
        <v>38</v>
      </c>
      <c r="AC50" t="s">
        <v>39</v>
      </c>
      <c r="AD50" t="s">
        <v>40</v>
      </c>
      <c r="AE50" t="str">
        <f t="shared" si="7"/>
        <v>05</v>
      </c>
      <c r="AF50" t="s">
        <v>40</v>
      </c>
    </row>
    <row r="51" spans="1:32" x14ac:dyDescent="0.25">
      <c r="A51">
        <v>5</v>
      </c>
      <c r="B51">
        <v>865</v>
      </c>
      <c r="C51" t="str">
        <f t="shared" si="8"/>
        <v>00</v>
      </c>
      <c r="D51">
        <v>2190</v>
      </c>
      <c r="E51" t="str">
        <f>"27"</f>
        <v>27</v>
      </c>
      <c r="F51" t="str">
        <f t="shared" si="9"/>
        <v>000</v>
      </c>
      <c r="G51">
        <v>5</v>
      </c>
      <c r="H51" t="str">
        <f t="shared" si="10"/>
        <v>00</v>
      </c>
      <c r="I51" t="str">
        <f t="shared" si="3"/>
        <v>0</v>
      </c>
      <c r="J51" t="str">
        <f t="shared" si="11"/>
        <v>00</v>
      </c>
      <c r="K51">
        <v>20150527</v>
      </c>
      <c r="L51" t="str">
        <f t="shared" si="13"/>
        <v>002163</v>
      </c>
      <c r="M51" t="str">
        <f t="shared" si="14"/>
        <v>00015</v>
      </c>
      <c r="N51" t="s">
        <v>44</v>
      </c>
      <c r="O51">
        <v>-7</v>
      </c>
      <c r="Q51" t="s">
        <v>33</v>
      </c>
      <c r="R51" t="s">
        <v>34</v>
      </c>
      <c r="S51" t="s">
        <v>35</v>
      </c>
      <c r="T51" t="s">
        <v>35</v>
      </c>
      <c r="U51" t="s">
        <v>34</v>
      </c>
      <c r="V51" t="s">
        <v>110</v>
      </c>
      <c r="W51">
        <v>20150422</v>
      </c>
      <c r="X51" t="s">
        <v>80</v>
      </c>
      <c r="Y51" t="s">
        <v>111</v>
      </c>
      <c r="Z51" t="s">
        <v>111</v>
      </c>
      <c r="AA51">
        <v>0</v>
      </c>
      <c r="AB51" t="s">
        <v>38</v>
      </c>
      <c r="AC51" t="s">
        <v>39</v>
      </c>
      <c r="AD51" t="s">
        <v>112</v>
      </c>
      <c r="AE51" t="str">
        <f t="shared" si="7"/>
        <v>05</v>
      </c>
      <c r="AF51" t="s">
        <v>40</v>
      </c>
    </row>
    <row r="52" spans="1:32" x14ac:dyDescent="0.25">
      <c r="A52">
        <v>5</v>
      </c>
      <c r="B52">
        <v>865</v>
      </c>
      <c r="C52" t="str">
        <f t="shared" si="8"/>
        <v>00</v>
      </c>
      <c r="D52">
        <v>2190</v>
      </c>
      <c r="E52" t="str">
        <f>"21"</f>
        <v>21</v>
      </c>
      <c r="F52" t="str">
        <f t="shared" si="9"/>
        <v>000</v>
      </c>
      <c r="G52">
        <v>5</v>
      </c>
      <c r="H52" t="str">
        <f t="shared" si="10"/>
        <v>00</v>
      </c>
      <c r="I52" t="str">
        <f t="shared" si="3"/>
        <v>0</v>
      </c>
      <c r="J52" t="str">
        <f t="shared" si="11"/>
        <v>00</v>
      </c>
      <c r="K52">
        <v>20150527</v>
      </c>
      <c r="L52" t="str">
        <f>"002164"</f>
        <v>002164</v>
      </c>
      <c r="M52" t="str">
        <f>"00866"</f>
        <v>00866</v>
      </c>
      <c r="N52" t="s">
        <v>113</v>
      </c>
      <c r="O52">
        <v>29.99</v>
      </c>
      <c r="Q52" t="s">
        <v>33</v>
      </c>
      <c r="R52" t="s">
        <v>34</v>
      </c>
      <c r="S52" t="s">
        <v>35</v>
      </c>
      <c r="T52" t="s">
        <v>35</v>
      </c>
      <c r="U52" t="s">
        <v>34</v>
      </c>
      <c r="V52" t="str">
        <f>""</f>
        <v/>
      </c>
      <c r="W52">
        <v>20150526</v>
      </c>
      <c r="X52" t="s">
        <v>36</v>
      </c>
      <c r="Y52" t="s">
        <v>114</v>
      </c>
      <c r="Z52" t="s">
        <v>114</v>
      </c>
      <c r="AA52">
        <v>0</v>
      </c>
      <c r="AB52" t="s">
        <v>38</v>
      </c>
      <c r="AC52" t="s">
        <v>39</v>
      </c>
      <c r="AD52" t="s">
        <v>40</v>
      </c>
      <c r="AE52" t="str">
        <f t="shared" si="7"/>
        <v>05</v>
      </c>
      <c r="AF52" t="s">
        <v>40</v>
      </c>
    </row>
    <row r="53" spans="1:32" x14ac:dyDescent="0.25">
      <c r="A53">
        <v>5</v>
      </c>
      <c r="B53">
        <v>865</v>
      </c>
      <c r="C53" t="str">
        <f t="shared" si="8"/>
        <v>00</v>
      </c>
      <c r="D53">
        <v>2190</v>
      </c>
      <c r="E53" t="str">
        <f>"21"</f>
        <v>21</v>
      </c>
      <c r="F53" t="str">
        <f t="shared" si="9"/>
        <v>000</v>
      </c>
      <c r="G53">
        <v>5</v>
      </c>
      <c r="H53" t="str">
        <f t="shared" si="10"/>
        <v>00</v>
      </c>
      <c r="I53" t="str">
        <f t="shared" si="3"/>
        <v>0</v>
      </c>
      <c r="J53" t="str">
        <f t="shared" si="11"/>
        <v>00</v>
      </c>
      <c r="K53">
        <v>20150527</v>
      </c>
      <c r="L53" t="str">
        <f>"002165"</f>
        <v>002165</v>
      </c>
      <c r="M53" t="str">
        <f>"00444"</f>
        <v>00444</v>
      </c>
      <c r="N53" t="s">
        <v>41</v>
      </c>
      <c r="O53">
        <v>293</v>
      </c>
      <c r="Q53" t="s">
        <v>33</v>
      </c>
      <c r="R53" t="s">
        <v>34</v>
      </c>
      <c r="S53" t="s">
        <v>35</v>
      </c>
      <c r="T53" t="s">
        <v>35</v>
      </c>
      <c r="U53" t="s">
        <v>34</v>
      </c>
      <c r="V53" t="str">
        <f>""</f>
        <v/>
      </c>
      <c r="W53">
        <v>20150526</v>
      </c>
      <c r="X53" t="s">
        <v>36</v>
      </c>
      <c r="Y53" t="s">
        <v>115</v>
      </c>
      <c r="Z53" t="s">
        <v>115</v>
      </c>
      <c r="AA53">
        <v>0</v>
      </c>
      <c r="AB53" t="s">
        <v>38</v>
      </c>
      <c r="AC53" t="s">
        <v>39</v>
      </c>
      <c r="AD53" t="s">
        <v>40</v>
      </c>
      <c r="AE53" t="str">
        <f t="shared" si="7"/>
        <v>05</v>
      </c>
      <c r="AF53" t="s">
        <v>40</v>
      </c>
    </row>
    <row r="54" spans="1:32" x14ac:dyDescent="0.25">
      <c r="A54">
        <v>5</v>
      </c>
      <c r="B54">
        <v>865</v>
      </c>
      <c r="C54" t="str">
        <f t="shared" si="8"/>
        <v>00</v>
      </c>
      <c r="D54">
        <v>2190</v>
      </c>
      <c r="E54" t="str">
        <f>"37"</f>
        <v>37</v>
      </c>
      <c r="F54" t="str">
        <f t="shared" si="9"/>
        <v>000</v>
      </c>
      <c r="G54">
        <v>5</v>
      </c>
      <c r="H54" t="str">
        <f t="shared" si="10"/>
        <v>00</v>
      </c>
      <c r="I54" t="str">
        <f t="shared" si="3"/>
        <v>0</v>
      </c>
      <c r="J54" t="str">
        <f t="shared" si="11"/>
        <v>00</v>
      </c>
      <c r="K54">
        <v>20150530</v>
      </c>
      <c r="L54" t="str">
        <f>"002166"</f>
        <v>002166</v>
      </c>
      <c r="M54" t="str">
        <f>"00792"</f>
        <v>00792</v>
      </c>
      <c r="N54" t="s">
        <v>47</v>
      </c>
      <c r="O54">
        <v>18.989999999999998</v>
      </c>
      <c r="Q54" t="s">
        <v>33</v>
      </c>
      <c r="R54" t="s">
        <v>34</v>
      </c>
      <c r="S54" t="s">
        <v>35</v>
      </c>
      <c r="T54" t="s">
        <v>35</v>
      </c>
      <c r="U54" t="s">
        <v>34</v>
      </c>
      <c r="V54" t="str">
        <f>""</f>
        <v/>
      </c>
      <c r="W54">
        <v>20150601</v>
      </c>
      <c r="X54" t="s">
        <v>48</v>
      </c>
      <c r="Y54" t="s">
        <v>116</v>
      </c>
      <c r="Z54" t="s">
        <v>116</v>
      </c>
      <c r="AA54">
        <v>0</v>
      </c>
      <c r="AB54" t="s">
        <v>38</v>
      </c>
      <c r="AC54" t="s">
        <v>39</v>
      </c>
      <c r="AD54" t="s">
        <v>40</v>
      </c>
      <c r="AE54" t="str">
        <f t="shared" si="7"/>
        <v>05</v>
      </c>
      <c r="AF54" t="s">
        <v>40</v>
      </c>
    </row>
    <row r="55" spans="1:32" x14ac:dyDescent="0.25">
      <c r="A55">
        <v>5</v>
      </c>
      <c r="B55">
        <v>865</v>
      </c>
      <c r="C55" t="str">
        <f t="shared" si="8"/>
        <v>00</v>
      </c>
      <c r="D55">
        <v>2190</v>
      </c>
      <c r="E55" t="str">
        <f>"21"</f>
        <v>21</v>
      </c>
      <c r="F55" t="str">
        <f t="shared" si="9"/>
        <v>000</v>
      </c>
      <c r="G55">
        <v>5</v>
      </c>
      <c r="H55" t="str">
        <f t="shared" si="10"/>
        <v>00</v>
      </c>
      <c r="I55" t="str">
        <f t="shared" si="3"/>
        <v>0</v>
      </c>
      <c r="J55" t="str">
        <f t="shared" si="11"/>
        <v>00</v>
      </c>
      <c r="K55">
        <v>20150530</v>
      </c>
      <c r="L55" t="str">
        <f>"002167"</f>
        <v>002167</v>
      </c>
      <c r="M55" t="str">
        <f>"00444"</f>
        <v>00444</v>
      </c>
      <c r="N55" t="s">
        <v>41</v>
      </c>
      <c r="O55">
        <v>146</v>
      </c>
      <c r="Q55" t="s">
        <v>33</v>
      </c>
      <c r="R55" t="s">
        <v>34</v>
      </c>
      <c r="S55" t="s">
        <v>35</v>
      </c>
      <c r="T55" t="s">
        <v>35</v>
      </c>
      <c r="U55" t="s">
        <v>34</v>
      </c>
      <c r="V55" t="str">
        <f>""</f>
        <v/>
      </c>
      <c r="W55">
        <v>20150601</v>
      </c>
      <c r="X55" t="s">
        <v>36</v>
      </c>
      <c r="Y55" t="s">
        <v>117</v>
      </c>
      <c r="Z55" t="s">
        <v>117</v>
      </c>
      <c r="AA55">
        <v>0</v>
      </c>
      <c r="AB55" t="s">
        <v>38</v>
      </c>
      <c r="AC55" t="s">
        <v>39</v>
      </c>
      <c r="AD55" t="s">
        <v>40</v>
      </c>
      <c r="AE55" t="str">
        <f t="shared" si="7"/>
        <v>05</v>
      </c>
      <c r="AF55" t="s">
        <v>40</v>
      </c>
    </row>
    <row r="56" spans="1:32" x14ac:dyDescent="0.25">
      <c r="A56">
        <v>5</v>
      </c>
      <c r="B56">
        <v>865</v>
      </c>
      <c r="C56" t="str">
        <f t="shared" si="8"/>
        <v>00</v>
      </c>
      <c r="D56">
        <v>2190</v>
      </c>
      <c r="E56" t="str">
        <f>"21"</f>
        <v>21</v>
      </c>
      <c r="F56" t="str">
        <f t="shared" si="9"/>
        <v>000</v>
      </c>
      <c r="G56">
        <v>5</v>
      </c>
      <c r="H56" t="str">
        <f t="shared" si="10"/>
        <v>00</v>
      </c>
      <c r="I56" t="str">
        <f t="shared" si="3"/>
        <v>0</v>
      </c>
      <c r="J56" t="str">
        <f t="shared" si="11"/>
        <v>00</v>
      </c>
      <c r="K56">
        <v>20150604</v>
      </c>
      <c r="L56" t="str">
        <f>"002168"</f>
        <v>002168</v>
      </c>
      <c r="M56" t="str">
        <f>"00870"</f>
        <v>00870</v>
      </c>
      <c r="N56" t="s">
        <v>118</v>
      </c>
      <c r="O56">
        <v>150</v>
      </c>
      <c r="Q56" t="s">
        <v>33</v>
      </c>
      <c r="R56" t="s">
        <v>34</v>
      </c>
      <c r="S56" t="s">
        <v>35</v>
      </c>
      <c r="T56" t="s">
        <v>35</v>
      </c>
      <c r="U56" t="s">
        <v>34</v>
      </c>
      <c r="V56" t="str">
        <f>""</f>
        <v/>
      </c>
      <c r="W56">
        <v>20150602</v>
      </c>
      <c r="X56" t="s">
        <v>36</v>
      </c>
      <c r="Y56" t="s">
        <v>119</v>
      </c>
      <c r="Z56" t="s">
        <v>119</v>
      </c>
      <c r="AA56">
        <v>0</v>
      </c>
      <c r="AB56" t="s">
        <v>38</v>
      </c>
      <c r="AC56" t="s">
        <v>39</v>
      </c>
      <c r="AD56" t="s">
        <v>40</v>
      </c>
      <c r="AE56" t="str">
        <f t="shared" ref="AE56:AE74" si="15">"06"</f>
        <v>06</v>
      </c>
      <c r="AF56" t="s">
        <v>40</v>
      </c>
    </row>
    <row r="57" spans="1:32" x14ac:dyDescent="0.25">
      <c r="A57">
        <v>5</v>
      </c>
      <c r="B57">
        <v>865</v>
      </c>
      <c r="C57" t="str">
        <f t="shared" si="8"/>
        <v>00</v>
      </c>
      <c r="D57">
        <v>2190</v>
      </c>
      <c r="E57" t="str">
        <f>"21"</f>
        <v>21</v>
      </c>
      <c r="F57" t="str">
        <f t="shared" si="9"/>
        <v>000</v>
      </c>
      <c r="G57">
        <v>5</v>
      </c>
      <c r="H57" t="str">
        <f t="shared" si="10"/>
        <v>00</v>
      </c>
      <c r="I57" t="str">
        <f t="shared" si="3"/>
        <v>0</v>
      </c>
      <c r="J57" t="str">
        <f t="shared" si="11"/>
        <v>00</v>
      </c>
      <c r="K57">
        <v>20150604</v>
      </c>
      <c r="L57" t="str">
        <f>"002169"</f>
        <v>002169</v>
      </c>
      <c r="M57" t="str">
        <f>"00701"</f>
        <v>00701</v>
      </c>
      <c r="N57" t="s">
        <v>120</v>
      </c>
      <c r="O57">
        <v>53.98</v>
      </c>
      <c r="Q57" t="s">
        <v>33</v>
      </c>
      <c r="R57" t="s">
        <v>34</v>
      </c>
      <c r="S57" t="s">
        <v>35</v>
      </c>
      <c r="T57" t="s">
        <v>35</v>
      </c>
      <c r="U57" t="s">
        <v>34</v>
      </c>
      <c r="V57" t="str">
        <f>""</f>
        <v/>
      </c>
      <c r="W57">
        <v>20150603</v>
      </c>
      <c r="X57" t="s">
        <v>36</v>
      </c>
      <c r="Y57" t="s">
        <v>121</v>
      </c>
      <c r="Z57" t="s">
        <v>121</v>
      </c>
      <c r="AA57">
        <v>0</v>
      </c>
      <c r="AB57" t="s">
        <v>38</v>
      </c>
      <c r="AC57" t="s">
        <v>39</v>
      </c>
      <c r="AD57" t="s">
        <v>40</v>
      </c>
      <c r="AE57" t="str">
        <f t="shared" si="15"/>
        <v>06</v>
      </c>
      <c r="AF57" t="s">
        <v>40</v>
      </c>
    </row>
    <row r="58" spans="1:32" x14ac:dyDescent="0.25">
      <c r="A58">
        <v>5</v>
      </c>
      <c r="B58">
        <v>865</v>
      </c>
      <c r="C58" t="str">
        <f t="shared" si="8"/>
        <v>00</v>
      </c>
      <c r="D58">
        <v>2190</v>
      </c>
      <c r="E58" t="str">
        <f>"21"</f>
        <v>21</v>
      </c>
      <c r="F58" t="str">
        <f t="shared" si="9"/>
        <v>000</v>
      </c>
      <c r="G58">
        <v>5</v>
      </c>
      <c r="H58" t="str">
        <f t="shared" si="10"/>
        <v>00</v>
      </c>
      <c r="I58" t="str">
        <f t="shared" si="3"/>
        <v>0</v>
      </c>
      <c r="J58" t="str">
        <f t="shared" si="11"/>
        <v>00</v>
      </c>
      <c r="K58">
        <v>20150604</v>
      </c>
      <c r="L58" t="str">
        <f>"002170"</f>
        <v>002170</v>
      </c>
      <c r="M58" t="str">
        <f>"00659"</f>
        <v>00659</v>
      </c>
      <c r="N58" t="s">
        <v>122</v>
      </c>
      <c r="O58">
        <v>150</v>
      </c>
      <c r="Q58" t="s">
        <v>33</v>
      </c>
      <c r="R58" t="s">
        <v>34</v>
      </c>
      <c r="S58" t="s">
        <v>35</v>
      </c>
      <c r="T58" t="s">
        <v>35</v>
      </c>
      <c r="U58" t="s">
        <v>34</v>
      </c>
      <c r="V58" t="str">
        <f>""</f>
        <v/>
      </c>
      <c r="W58">
        <v>20150602</v>
      </c>
      <c r="X58" t="s">
        <v>36</v>
      </c>
      <c r="Y58" t="s">
        <v>119</v>
      </c>
      <c r="Z58" t="s">
        <v>119</v>
      </c>
      <c r="AA58">
        <v>0</v>
      </c>
      <c r="AB58" t="s">
        <v>38</v>
      </c>
      <c r="AC58" t="s">
        <v>39</v>
      </c>
      <c r="AD58" t="s">
        <v>40</v>
      </c>
      <c r="AE58" t="str">
        <f t="shared" si="15"/>
        <v>06</v>
      </c>
      <c r="AF58" t="s">
        <v>40</v>
      </c>
    </row>
    <row r="59" spans="1:32" x14ac:dyDescent="0.25">
      <c r="A59">
        <v>5</v>
      </c>
      <c r="B59">
        <v>865</v>
      </c>
      <c r="C59" t="str">
        <f t="shared" si="8"/>
        <v>00</v>
      </c>
      <c r="D59">
        <v>2190</v>
      </c>
      <c r="E59" t="str">
        <f>"21"</f>
        <v>21</v>
      </c>
      <c r="F59" t="str">
        <f t="shared" si="9"/>
        <v>000</v>
      </c>
      <c r="G59">
        <v>5</v>
      </c>
      <c r="H59" t="str">
        <f t="shared" si="10"/>
        <v>00</v>
      </c>
      <c r="I59" t="str">
        <f t="shared" si="3"/>
        <v>0</v>
      </c>
      <c r="J59" t="str">
        <f t="shared" si="11"/>
        <v>00</v>
      </c>
      <c r="K59">
        <v>20150604</v>
      </c>
      <c r="L59" t="str">
        <f>"002171"</f>
        <v>002171</v>
      </c>
      <c r="M59" t="str">
        <f>"00444"</f>
        <v>00444</v>
      </c>
      <c r="N59" t="s">
        <v>41</v>
      </c>
      <c r="O59">
        <v>440</v>
      </c>
      <c r="Q59" t="s">
        <v>33</v>
      </c>
      <c r="R59" t="s">
        <v>34</v>
      </c>
      <c r="S59" t="s">
        <v>35</v>
      </c>
      <c r="T59" t="s">
        <v>35</v>
      </c>
      <c r="U59" t="s">
        <v>34</v>
      </c>
      <c r="V59" t="str">
        <f>""</f>
        <v/>
      </c>
      <c r="W59">
        <v>20150604</v>
      </c>
      <c r="X59" t="s">
        <v>36</v>
      </c>
      <c r="Y59" t="s">
        <v>55</v>
      </c>
      <c r="Z59" t="s">
        <v>55</v>
      </c>
      <c r="AA59">
        <v>0</v>
      </c>
      <c r="AB59" t="s">
        <v>38</v>
      </c>
      <c r="AC59" t="s">
        <v>39</v>
      </c>
      <c r="AD59" t="s">
        <v>40</v>
      </c>
      <c r="AE59" t="str">
        <f t="shared" si="15"/>
        <v>06</v>
      </c>
      <c r="AF59" t="s">
        <v>40</v>
      </c>
    </row>
    <row r="60" spans="1:32" x14ac:dyDescent="0.25">
      <c r="A60">
        <v>5</v>
      </c>
      <c r="B60">
        <v>865</v>
      </c>
      <c r="C60" t="str">
        <f t="shared" si="8"/>
        <v>00</v>
      </c>
      <c r="D60">
        <v>2190</v>
      </c>
      <c r="E60" t="str">
        <f>"49"</f>
        <v>49</v>
      </c>
      <c r="F60" t="str">
        <f t="shared" si="9"/>
        <v>000</v>
      </c>
      <c r="G60">
        <v>5</v>
      </c>
      <c r="H60" t="str">
        <f t="shared" si="10"/>
        <v>00</v>
      </c>
      <c r="I60" t="str">
        <f t="shared" si="3"/>
        <v>0</v>
      </c>
      <c r="J60" t="str">
        <f t="shared" si="11"/>
        <v>00</v>
      </c>
      <c r="K60">
        <v>20150619</v>
      </c>
      <c r="L60" t="str">
        <f>"002172"</f>
        <v>002172</v>
      </c>
      <c r="M60" t="str">
        <f>"00123"</f>
        <v>00123</v>
      </c>
      <c r="N60" t="s">
        <v>123</v>
      </c>
      <c r="O60">
        <v>123</v>
      </c>
      <c r="Q60" t="s">
        <v>33</v>
      </c>
      <c r="R60" t="s">
        <v>34</v>
      </c>
      <c r="S60" t="s">
        <v>35</v>
      </c>
      <c r="T60" t="s">
        <v>35</v>
      </c>
      <c r="U60" t="s">
        <v>34</v>
      </c>
      <c r="V60" t="str">
        <f>""</f>
        <v/>
      </c>
      <c r="W60">
        <v>20150617</v>
      </c>
      <c r="X60" t="s">
        <v>45</v>
      </c>
      <c r="Y60" t="s">
        <v>124</v>
      </c>
      <c r="Z60" t="s">
        <v>124</v>
      </c>
      <c r="AA60">
        <v>0</v>
      </c>
      <c r="AB60" t="s">
        <v>38</v>
      </c>
      <c r="AC60" t="s">
        <v>39</v>
      </c>
      <c r="AD60" t="s">
        <v>40</v>
      </c>
      <c r="AE60" t="str">
        <f t="shared" si="15"/>
        <v>06</v>
      </c>
      <c r="AF60" t="s">
        <v>40</v>
      </c>
    </row>
    <row r="61" spans="1:32" x14ac:dyDescent="0.25">
      <c r="A61">
        <v>5</v>
      </c>
      <c r="B61">
        <v>865</v>
      </c>
      <c r="C61" t="str">
        <f t="shared" si="8"/>
        <v>00</v>
      </c>
      <c r="D61">
        <v>2190</v>
      </c>
      <c r="E61" t="str">
        <f>"56"</f>
        <v>56</v>
      </c>
      <c r="F61" t="str">
        <f t="shared" si="9"/>
        <v>000</v>
      </c>
      <c r="G61">
        <v>5</v>
      </c>
      <c r="H61" t="str">
        <f t="shared" si="10"/>
        <v>00</v>
      </c>
      <c r="I61" t="str">
        <f t="shared" si="3"/>
        <v>0</v>
      </c>
      <c r="J61" t="str">
        <f t="shared" si="11"/>
        <v>00</v>
      </c>
      <c r="K61">
        <v>20150619</v>
      </c>
      <c r="L61" t="str">
        <f>"002172"</f>
        <v>002172</v>
      </c>
      <c r="M61" t="str">
        <f>"00123"</f>
        <v>00123</v>
      </c>
      <c r="N61" t="s">
        <v>123</v>
      </c>
      <c r="O61">
        <v>120</v>
      </c>
      <c r="Q61" t="s">
        <v>33</v>
      </c>
      <c r="R61" t="s">
        <v>34</v>
      </c>
      <c r="S61" t="s">
        <v>35</v>
      </c>
      <c r="T61" t="s">
        <v>35</v>
      </c>
      <c r="U61" t="s">
        <v>34</v>
      </c>
      <c r="V61" t="str">
        <f>""</f>
        <v/>
      </c>
      <c r="W61">
        <v>20150617</v>
      </c>
      <c r="X61" t="s">
        <v>73</v>
      </c>
      <c r="Y61" t="s">
        <v>124</v>
      </c>
      <c r="Z61" t="s">
        <v>124</v>
      </c>
      <c r="AA61">
        <v>0</v>
      </c>
      <c r="AB61" t="s">
        <v>38</v>
      </c>
      <c r="AC61" t="s">
        <v>39</v>
      </c>
      <c r="AD61" t="s">
        <v>40</v>
      </c>
      <c r="AE61" t="str">
        <f t="shared" si="15"/>
        <v>06</v>
      </c>
      <c r="AF61" t="s">
        <v>40</v>
      </c>
    </row>
    <row r="62" spans="1:32" x14ac:dyDescent="0.25">
      <c r="A62">
        <v>5</v>
      </c>
      <c r="B62">
        <v>865</v>
      </c>
      <c r="C62" t="str">
        <f t="shared" si="8"/>
        <v>00</v>
      </c>
      <c r="D62">
        <v>2190</v>
      </c>
      <c r="E62" t="str">
        <f>"56"</f>
        <v>56</v>
      </c>
      <c r="F62" t="str">
        <f t="shared" si="9"/>
        <v>000</v>
      </c>
      <c r="G62">
        <v>5</v>
      </c>
      <c r="H62" t="str">
        <f t="shared" si="10"/>
        <v>00</v>
      </c>
      <c r="I62" t="str">
        <f t="shared" si="3"/>
        <v>0</v>
      </c>
      <c r="J62" t="str">
        <f t="shared" si="11"/>
        <v>00</v>
      </c>
      <c r="K62">
        <v>20150619</v>
      </c>
      <c r="L62" t="str">
        <f>"002172"</f>
        <v>002172</v>
      </c>
      <c r="M62" t="str">
        <f>"00123"</f>
        <v>00123</v>
      </c>
      <c r="N62" t="s">
        <v>123</v>
      </c>
      <c r="O62">
        <v>60</v>
      </c>
      <c r="Q62" t="s">
        <v>33</v>
      </c>
      <c r="R62" t="s">
        <v>34</v>
      </c>
      <c r="S62" t="s">
        <v>35</v>
      </c>
      <c r="T62" t="s">
        <v>35</v>
      </c>
      <c r="U62" t="s">
        <v>34</v>
      </c>
      <c r="V62" t="str">
        <f>""</f>
        <v/>
      </c>
      <c r="W62">
        <v>20150617</v>
      </c>
      <c r="X62" t="s">
        <v>73</v>
      </c>
      <c r="Y62" t="s">
        <v>124</v>
      </c>
      <c r="Z62" t="s">
        <v>124</v>
      </c>
      <c r="AA62">
        <v>0</v>
      </c>
      <c r="AB62" t="s">
        <v>38</v>
      </c>
      <c r="AC62" t="s">
        <v>39</v>
      </c>
      <c r="AD62" t="s">
        <v>40</v>
      </c>
      <c r="AE62" t="str">
        <f t="shared" si="15"/>
        <v>06</v>
      </c>
      <c r="AF62" t="s">
        <v>40</v>
      </c>
    </row>
    <row r="63" spans="1:32" x14ac:dyDescent="0.25">
      <c r="A63">
        <v>5</v>
      </c>
      <c r="B63">
        <v>865</v>
      </c>
      <c r="C63" t="str">
        <f t="shared" si="8"/>
        <v>00</v>
      </c>
      <c r="D63">
        <v>2190</v>
      </c>
      <c r="E63" t="str">
        <f>"56"</f>
        <v>56</v>
      </c>
      <c r="F63" t="str">
        <f t="shared" si="9"/>
        <v>000</v>
      </c>
      <c r="G63">
        <v>5</v>
      </c>
      <c r="H63" t="str">
        <f t="shared" si="10"/>
        <v>00</v>
      </c>
      <c r="I63" t="str">
        <f t="shared" si="3"/>
        <v>0</v>
      </c>
      <c r="J63" t="str">
        <f t="shared" si="11"/>
        <v>00</v>
      </c>
      <c r="K63">
        <v>20150619</v>
      </c>
      <c r="L63" t="str">
        <f>"002172"</f>
        <v>002172</v>
      </c>
      <c r="M63" t="str">
        <f>"00123"</f>
        <v>00123</v>
      </c>
      <c r="N63" t="s">
        <v>123</v>
      </c>
      <c r="O63">
        <v>129</v>
      </c>
      <c r="Q63" t="s">
        <v>33</v>
      </c>
      <c r="R63" t="s">
        <v>34</v>
      </c>
      <c r="S63" t="s">
        <v>35</v>
      </c>
      <c r="T63" t="s">
        <v>35</v>
      </c>
      <c r="U63" t="s">
        <v>34</v>
      </c>
      <c r="V63" t="str">
        <f>""</f>
        <v/>
      </c>
      <c r="W63">
        <v>20150617</v>
      </c>
      <c r="X63" t="s">
        <v>73</v>
      </c>
      <c r="Y63" t="s">
        <v>124</v>
      </c>
      <c r="Z63" t="s">
        <v>124</v>
      </c>
      <c r="AA63">
        <v>0</v>
      </c>
      <c r="AB63" t="s">
        <v>38</v>
      </c>
      <c r="AC63" t="s">
        <v>39</v>
      </c>
      <c r="AD63" t="s">
        <v>40</v>
      </c>
      <c r="AE63" t="str">
        <f t="shared" si="15"/>
        <v>06</v>
      </c>
      <c r="AF63" t="s">
        <v>40</v>
      </c>
    </row>
    <row r="64" spans="1:32" x14ac:dyDescent="0.25">
      <c r="A64">
        <v>5</v>
      </c>
      <c r="B64">
        <v>865</v>
      </c>
      <c r="C64" t="str">
        <f t="shared" si="8"/>
        <v>00</v>
      </c>
      <c r="D64">
        <v>2190</v>
      </c>
      <c r="E64" t="str">
        <f>"56"</f>
        <v>56</v>
      </c>
      <c r="F64" t="str">
        <f t="shared" si="9"/>
        <v>000</v>
      </c>
      <c r="G64">
        <v>5</v>
      </c>
      <c r="H64" t="str">
        <f t="shared" si="10"/>
        <v>00</v>
      </c>
      <c r="I64" t="str">
        <f t="shared" si="3"/>
        <v>0</v>
      </c>
      <c r="J64" t="str">
        <f t="shared" si="11"/>
        <v>00</v>
      </c>
      <c r="K64">
        <v>20150619</v>
      </c>
      <c r="L64" t="str">
        <f>"002172"</f>
        <v>002172</v>
      </c>
      <c r="M64" t="str">
        <f>"00123"</f>
        <v>00123</v>
      </c>
      <c r="N64" t="s">
        <v>123</v>
      </c>
      <c r="O64">
        <v>120</v>
      </c>
      <c r="Q64" t="s">
        <v>33</v>
      </c>
      <c r="R64" t="s">
        <v>34</v>
      </c>
      <c r="S64" t="s">
        <v>35</v>
      </c>
      <c r="T64" t="s">
        <v>35</v>
      </c>
      <c r="U64" t="s">
        <v>34</v>
      </c>
      <c r="V64" t="str">
        <f>""</f>
        <v/>
      </c>
      <c r="W64">
        <v>20150617</v>
      </c>
      <c r="X64" t="s">
        <v>73</v>
      </c>
      <c r="Y64" t="s">
        <v>124</v>
      </c>
      <c r="Z64" t="s">
        <v>124</v>
      </c>
      <c r="AA64">
        <v>0</v>
      </c>
      <c r="AB64" t="s">
        <v>38</v>
      </c>
      <c r="AC64" t="s">
        <v>39</v>
      </c>
      <c r="AD64" t="s">
        <v>40</v>
      </c>
      <c r="AE64" t="str">
        <f t="shared" si="15"/>
        <v>06</v>
      </c>
      <c r="AF64" t="s">
        <v>40</v>
      </c>
    </row>
    <row r="65" spans="1:32" x14ac:dyDescent="0.25">
      <c r="A65">
        <v>5</v>
      </c>
      <c r="B65">
        <v>865</v>
      </c>
      <c r="C65" t="str">
        <f t="shared" si="8"/>
        <v>00</v>
      </c>
      <c r="D65">
        <v>2190</v>
      </c>
      <c r="E65" t="str">
        <f>"21"</f>
        <v>21</v>
      </c>
      <c r="F65" t="str">
        <f t="shared" si="9"/>
        <v>000</v>
      </c>
      <c r="G65">
        <v>5</v>
      </c>
      <c r="H65" t="str">
        <f t="shared" si="10"/>
        <v>00</v>
      </c>
      <c r="I65" t="str">
        <f t="shared" si="3"/>
        <v>0</v>
      </c>
      <c r="J65" t="str">
        <f t="shared" si="11"/>
        <v>00</v>
      </c>
      <c r="K65">
        <v>20150619</v>
      </c>
      <c r="L65" t="str">
        <f>"002173"</f>
        <v>002173</v>
      </c>
      <c r="M65" t="str">
        <f>"00178"</f>
        <v>00178</v>
      </c>
      <c r="N65" t="s">
        <v>125</v>
      </c>
      <c r="O65">
        <v>224.3</v>
      </c>
      <c r="Q65" t="s">
        <v>33</v>
      </c>
      <c r="R65" t="s">
        <v>34</v>
      </c>
      <c r="S65" t="s">
        <v>35</v>
      </c>
      <c r="T65" t="s">
        <v>35</v>
      </c>
      <c r="U65" t="s">
        <v>34</v>
      </c>
      <c r="V65" t="str">
        <f>""</f>
        <v/>
      </c>
      <c r="W65">
        <v>20150618</v>
      </c>
      <c r="X65" t="s">
        <v>36</v>
      </c>
      <c r="Y65" t="s">
        <v>126</v>
      </c>
      <c r="Z65" t="s">
        <v>126</v>
      </c>
      <c r="AA65">
        <v>0</v>
      </c>
      <c r="AB65" t="s">
        <v>38</v>
      </c>
      <c r="AC65" t="s">
        <v>39</v>
      </c>
      <c r="AD65" t="s">
        <v>40</v>
      </c>
      <c r="AE65" t="str">
        <f t="shared" si="15"/>
        <v>06</v>
      </c>
      <c r="AF65" t="s">
        <v>40</v>
      </c>
    </row>
    <row r="66" spans="1:32" x14ac:dyDescent="0.25">
      <c r="A66">
        <v>5</v>
      </c>
      <c r="B66">
        <v>865</v>
      </c>
      <c r="C66" t="str">
        <f t="shared" ref="C66:C76" si="16">"00"</f>
        <v>00</v>
      </c>
      <c r="D66">
        <v>2190</v>
      </c>
      <c r="E66" t="str">
        <f>"49"</f>
        <v>49</v>
      </c>
      <c r="F66" t="str">
        <f t="shared" ref="F66:F76" si="17">"000"</f>
        <v>000</v>
      </c>
      <c r="G66">
        <v>5</v>
      </c>
      <c r="H66" t="str">
        <f t="shared" ref="H66:H76" si="18">"00"</f>
        <v>00</v>
      </c>
      <c r="I66" t="str">
        <f t="shared" ref="I66:I129" si="19">"0"</f>
        <v>0</v>
      </c>
      <c r="J66" t="str">
        <f t="shared" ref="J66:J81" si="20">"00"</f>
        <v>00</v>
      </c>
      <c r="K66">
        <v>20150619</v>
      </c>
      <c r="L66" t="str">
        <f>"002174"</f>
        <v>002174</v>
      </c>
      <c r="M66" t="str">
        <f>"00774"</f>
        <v>00774</v>
      </c>
      <c r="N66" t="s">
        <v>127</v>
      </c>
      <c r="O66">
        <v>72.650000000000006</v>
      </c>
      <c r="Q66" t="s">
        <v>33</v>
      </c>
      <c r="R66" t="s">
        <v>34</v>
      </c>
      <c r="S66" t="s">
        <v>35</v>
      </c>
      <c r="T66" t="s">
        <v>35</v>
      </c>
      <c r="U66" t="s">
        <v>34</v>
      </c>
      <c r="V66" t="str">
        <f>""</f>
        <v/>
      </c>
      <c r="W66">
        <v>20150617</v>
      </c>
      <c r="X66" t="s">
        <v>45</v>
      </c>
      <c r="Y66" t="s">
        <v>128</v>
      </c>
      <c r="Z66" t="s">
        <v>128</v>
      </c>
      <c r="AA66">
        <v>0</v>
      </c>
      <c r="AB66" t="s">
        <v>38</v>
      </c>
      <c r="AC66" t="s">
        <v>39</v>
      </c>
      <c r="AD66" t="s">
        <v>40</v>
      </c>
      <c r="AE66" t="str">
        <f t="shared" si="15"/>
        <v>06</v>
      </c>
      <c r="AF66" t="s">
        <v>40</v>
      </c>
    </row>
    <row r="67" spans="1:32" x14ac:dyDescent="0.25">
      <c r="A67">
        <v>5</v>
      </c>
      <c r="B67">
        <v>865</v>
      </c>
      <c r="C67" t="str">
        <f t="shared" si="16"/>
        <v>00</v>
      </c>
      <c r="D67">
        <v>2190</v>
      </c>
      <c r="E67" t="str">
        <f>"21"</f>
        <v>21</v>
      </c>
      <c r="F67" t="str">
        <f t="shared" si="17"/>
        <v>000</v>
      </c>
      <c r="G67">
        <v>5</v>
      </c>
      <c r="H67" t="str">
        <f t="shared" si="18"/>
        <v>00</v>
      </c>
      <c r="I67" t="str">
        <f t="shared" si="19"/>
        <v>0</v>
      </c>
      <c r="J67" t="str">
        <f t="shared" si="20"/>
        <v>00</v>
      </c>
      <c r="K67">
        <v>20150630</v>
      </c>
      <c r="L67" t="str">
        <f t="shared" ref="L67:L74" si="21">"002175"</f>
        <v>002175</v>
      </c>
      <c r="M67" t="str">
        <f t="shared" ref="M67:M74" si="22">"00015"</f>
        <v>00015</v>
      </c>
      <c r="N67" t="s">
        <v>44</v>
      </c>
      <c r="O67">
        <v>101.65</v>
      </c>
      <c r="Q67" t="s">
        <v>33</v>
      </c>
      <c r="R67" t="s">
        <v>34</v>
      </c>
      <c r="S67" t="s">
        <v>35</v>
      </c>
      <c r="T67" t="s">
        <v>35</v>
      </c>
      <c r="U67" t="s">
        <v>34</v>
      </c>
      <c r="V67" t="str">
        <f>""</f>
        <v/>
      </c>
      <c r="W67">
        <v>20150623</v>
      </c>
      <c r="X67" t="s">
        <v>36</v>
      </c>
      <c r="Y67" t="s">
        <v>129</v>
      </c>
      <c r="Z67" t="s">
        <v>129</v>
      </c>
      <c r="AA67">
        <v>0</v>
      </c>
      <c r="AB67" t="s">
        <v>38</v>
      </c>
      <c r="AC67" t="s">
        <v>39</v>
      </c>
      <c r="AD67" t="s">
        <v>40</v>
      </c>
      <c r="AE67" t="str">
        <f t="shared" si="15"/>
        <v>06</v>
      </c>
      <c r="AF67" t="s">
        <v>40</v>
      </c>
    </row>
    <row r="68" spans="1:32" x14ac:dyDescent="0.25">
      <c r="A68">
        <v>5</v>
      </c>
      <c r="B68">
        <v>865</v>
      </c>
      <c r="C68" t="str">
        <f t="shared" si="16"/>
        <v>00</v>
      </c>
      <c r="D68">
        <v>2190</v>
      </c>
      <c r="E68" t="str">
        <f>"21"</f>
        <v>21</v>
      </c>
      <c r="F68" t="str">
        <f t="shared" si="17"/>
        <v>000</v>
      </c>
      <c r="G68">
        <v>5</v>
      </c>
      <c r="H68" t="str">
        <f t="shared" si="18"/>
        <v>00</v>
      </c>
      <c r="I68" t="str">
        <f t="shared" si="19"/>
        <v>0</v>
      </c>
      <c r="J68" t="str">
        <f t="shared" si="20"/>
        <v>00</v>
      </c>
      <c r="K68">
        <v>20150630</v>
      </c>
      <c r="L68" t="str">
        <f t="shared" si="21"/>
        <v>002175</v>
      </c>
      <c r="M68" t="str">
        <f t="shared" si="22"/>
        <v>00015</v>
      </c>
      <c r="N68" t="s">
        <v>44</v>
      </c>
      <c r="O68">
        <v>75.239999999999995</v>
      </c>
      <c r="Q68" t="s">
        <v>33</v>
      </c>
      <c r="R68" t="s">
        <v>34</v>
      </c>
      <c r="S68" t="s">
        <v>35</v>
      </c>
      <c r="T68" t="s">
        <v>35</v>
      </c>
      <c r="U68" t="s">
        <v>34</v>
      </c>
      <c r="V68" t="str">
        <f>""</f>
        <v/>
      </c>
      <c r="W68">
        <v>20150623</v>
      </c>
      <c r="X68" t="s">
        <v>36</v>
      </c>
      <c r="Y68" t="s">
        <v>130</v>
      </c>
      <c r="Z68" t="s">
        <v>130</v>
      </c>
      <c r="AA68">
        <v>0</v>
      </c>
      <c r="AB68" t="s">
        <v>38</v>
      </c>
      <c r="AC68" t="s">
        <v>39</v>
      </c>
      <c r="AD68" t="s">
        <v>40</v>
      </c>
      <c r="AE68" t="str">
        <f t="shared" si="15"/>
        <v>06</v>
      </c>
      <c r="AF68" t="s">
        <v>40</v>
      </c>
    </row>
    <row r="69" spans="1:32" x14ac:dyDescent="0.25">
      <c r="A69">
        <v>5</v>
      </c>
      <c r="B69">
        <v>865</v>
      </c>
      <c r="C69" t="str">
        <f t="shared" si="16"/>
        <v>00</v>
      </c>
      <c r="D69">
        <v>2190</v>
      </c>
      <c r="E69" t="str">
        <f>"21"</f>
        <v>21</v>
      </c>
      <c r="F69" t="str">
        <f t="shared" si="17"/>
        <v>000</v>
      </c>
      <c r="G69">
        <v>5</v>
      </c>
      <c r="H69" t="str">
        <f t="shared" si="18"/>
        <v>00</v>
      </c>
      <c r="I69" t="str">
        <f t="shared" si="19"/>
        <v>0</v>
      </c>
      <c r="J69" t="str">
        <f t="shared" si="20"/>
        <v>00</v>
      </c>
      <c r="K69">
        <v>20150630</v>
      </c>
      <c r="L69" t="str">
        <f t="shared" si="21"/>
        <v>002175</v>
      </c>
      <c r="M69" t="str">
        <f t="shared" si="22"/>
        <v>00015</v>
      </c>
      <c r="N69" t="s">
        <v>44</v>
      </c>
      <c r="O69">
        <v>70</v>
      </c>
      <c r="Q69" t="s">
        <v>33</v>
      </c>
      <c r="R69" t="s">
        <v>34</v>
      </c>
      <c r="S69" t="s">
        <v>35</v>
      </c>
      <c r="T69" t="s">
        <v>35</v>
      </c>
      <c r="U69" t="s">
        <v>34</v>
      </c>
      <c r="V69" t="str">
        <f>""</f>
        <v/>
      </c>
      <c r="W69">
        <v>20150623</v>
      </c>
      <c r="X69" t="s">
        <v>36</v>
      </c>
      <c r="Y69" t="s">
        <v>105</v>
      </c>
      <c r="Z69" t="s">
        <v>105</v>
      </c>
      <c r="AA69">
        <v>0</v>
      </c>
      <c r="AB69" t="s">
        <v>38</v>
      </c>
      <c r="AC69" t="s">
        <v>39</v>
      </c>
      <c r="AD69" t="s">
        <v>40</v>
      </c>
      <c r="AE69" t="str">
        <f t="shared" si="15"/>
        <v>06</v>
      </c>
      <c r="AF69" t="s">
        <v>40</v>
      </c>
    </row>
    <row r="70" spans="1:32" x14ac:dyDescent="0.25">
      <c r="A70">
        <v>5</v>
      </c>
      <c r="B70">
        <v>865</v>
      </c>
      <c r="C70" t="str">
        <f t="shared" si="16"/>
        <v>00</v>
      </c>
      <c r="D70">
        <v>2190</v>
      </c>
      <c r="E70" t="str">
        <f>"21"</f>
        <v>21</v>
      </c>
      <c r="F70" t="str">
        <f t="shared" si="17"/>
        <v>000</v>
      </c>
      <c r="G70">
        <v>5</v>
      </c>
      <c r="H70" t="str">
        <f t="shared" si="18"/>
        <v>00</v>
      </c>
      <c r="I70" t="str">
        <f t="shared" si="19"/>
        <v>0</v>
      </c>
      <c r="J70" t="str">
        <f t="shared" si="20"/>
        <v>00</v>
      </c>
      <c r="K70">
        <v>20150630</v>
      </c>
      <c r="L70" t="str">
        <f t="shared" si="21"/>
        <v>002175</v>
      </c>
      <c r="M70" t="str">
        <f t="shared" si="22"/>
        <v>00015</v>
      </c>
      <c r="N70" t="s">
        <v>44</v>
      </c>
      <c r="O70">
        <v>113.79</v>
      </c>
      <c r="Q70" t="s">
        <v>33</v>
      </c>
      <c r="R70" t="s">
        <v>34</v>
      </c>
      <c r="S70" t="s">
        <v>35</v>
      </c>
      <c r="T70" t="s">
        <v>35</v>
      </c>
      <c r="U70" t="s">
        <v>34</v>
      </c>
      <c r="V70" t="str">
        <f>""</f>
        <v/>
      </c>
      <c r="W70">
        <v>20150623</v>
      </c>
      <c r="X70" t="s">
        <v>36</v>
      </c>
      <c r="Y70" t="s">
        <v>105</v>
      </c>
      <c r="Z70" t="s">
        <v>105</v>
      </c>
      <c r="AA70">
        <v>0</v>
      </c>
      <c r="AB70" t="s">
        <v>38</v>
      </c>
      <c r="AC70" t="s">
        <v>39</v>
      </c>
      <c r="AD70" t="s">
        <v>40</v>
      </c>
      <c r="AE70" t="str">
        <f t="shared" si="15"/>
        <v>06</v>
      </c>
      <c r="AF70" t="s">
        <v>40</v>
      </c>
    </row>
    <row r="71" spans="1:32" x14ac:dyDescent="0.25">
      <c r="A71">
        <v>5</v>
      </c>
      <c r="B71">
        <v>865</v>
      </c>
      <c r="C71" t="str">
        <f t="shared" si="16"/>
        <v>00</v>
      </c>
      <c r="D71">
        <v>2190</v>
      </c>
      <c r="E71" t="str">
        <f>"27"</f>
        <v>27</v>
      </c>
      <c r="F71" t="str">
        <f t="shared" si="17"/>
        <v>000</v>
      </c>
      <c r="G71">
        <v>5</v>
      </c>
      <c r="H71" t="str">
        <f t="shared" si="18"/>
        <v>00</v>
      </c>
      <c r="I71" t="str">
        <f t="shared" si="19"/>
        <v>0</v>
      </c>
      <c r="J71" t="str">
        <f t="shared" si="20"/>
        <v>00</v>
      </c>
      <c r="K71">
        <v>20150630</v>
      </c>
      <c r="L71" t="str">
        <f t="shared" si="21"/>
        <v>002175</v>
      </c>
      <c r="M71" t="str">
        <f t="shared" si="22"/>
        <v>00015</v>
      </c>
      <c r="N71" t="s">
        <v>44</v>
      </c>
      <c r="O71">
        <v>235</v>
      </c>
      <c r="Q71" t="s">
        <v>33</v>
      </c>
      <c r="R71" t="s">
        <v>34</v>
      </c>
      <c r="S71" t="s">
        <v>35</v>
      </c>
      <c r="T71" t="s">
        <v>35</v>
      </c>
      <c r="U71" t="s">
        <v>34</v>
      </c>
      <c r="V71" t="str">
        <f>""</f>
        <v/>
      </c>
      <c r="W71">
        <v>20150623</v>
      </c>
      <c r="X71" t="s">
        <v>80</v>
      </c>
      <c r="Y71" t="s">
        <v>131</v>
      </c>
      <c r="Z71" t="s">
        <v>131</v>
      </c>
      <c r="AA71">
        <v>0</v>
      </c>
      <c r="AB71" t="s">
        <v>38</v>
      </c>
      <c r="AC71" t="s">
        <v>39</v>
      </c>
      <c r="AD71" t="s">
        <v>40</v>
      </c>
      <c r="AE71" t="str">
        <f t="shared" si="15"/>
        <v>06</v>
      </c>
      <c r="AF71" t="s">
        <v>40</v>
      </c>
    </row>
    <row r="72" spans="1:32" x14ac:dyDescent="0.25">
      <c r="A72">
        <v>5</v>
      </c>
      <c r="B72">
        <v>865</v>
      </c>
      <c r="C72" t="str">
        <f t="shared" si="16"/>
        <v>00</v>
      </c>
      <c r="D72">
        <v>2190</v>
      </c>
      <c r="E72" t="str">
        <f>"27"</f>
        <v>27</v>
      </c>
      <c r="F72" t="str">
        <f t="shared" si="17"/>
        <v>000</v>
      </c>
      <c r="G72">
        <v>5</v>
      </c>
      <c r="H72" t="str">
        <f t="shared" si="18"/>
        <v>00</v>
      </c>
      <c r="I72" t="str">
        <f t="shared" si="19"/>
        <v>0</v>
      </c>
      <c r="J72" t="str">
        <f t="shared" si="20"/>
        <v>00</v>
      </c>
      <c r="K72">
        <v>20150630</v>
      </c>
      <c r="L72" t="str">
        <f t="shared" si="21"/>
        <v>002175</v>
      </c>
      <c r="M72" t="str">
        <f t="shared" si="22"/>
        <v>00015</v>
      </c>
      <c r="N72" t="s">
        <v>44</v>
      </c>
      <c r="O72">
        <v>530</v>
      </c>
      <c r="Q72" t="s">
        <v>33</v>
      </c>
      <c r="R72" t="s">
        <v>34</v>
      </c>
      <c r="S72" t="s">
        <v>35</v>
      </c>
      <c r="T72" t="s">
        <v>35</v>
      </c>
      <c r="U72" t="s">
        <v>34</v>
      </c>
      <c r="V72" t="str">
        <f>""</f>
        <v/>
      </c>
      <c r="W72">
        <v>20150623</v>
      </c>
      <c r="X72" t="s">
        <v>80</v>
      </c>
      <c r="Y72" t="s">
        <v>132</v>
      </c>
      <c r="Z72" t="s">
        <v>132</v>
      </c>
      <c r="AA72">
        <v>0</v>
      </c>
      <c r="AB72" t="s">
        <v>38</v>
      </c>
      <c r="AC72" t="s">
        <v>39</v>
      </c>
      <c r="AD72" t="s">
        <v>40</v>
      </c>
      <c r="AE72" t="str">
        <f t="shared" si="15"/>
        <v>06</v>
      </c>
      <c r="AF72" t="s">
        <v>40</v>
      </c>
    </row>
    <row r="73" spans="1:32" x14ac:dyDescent="0.25">
      <c r="A73">
        <v>5</v>
      </c>
      <c r="B73">
        <v>865</v>
      </c>
      <c r="C73" t="str">
        <f t="shared" si="16"/>
        <v>00</v>
      </c>
      <c r="D73">
        <v>2190</v>
      </c>
      <c r="E73" t="str">
        <f>"49"</f>
        <v>49</v>
      </c>
      <c r="F73" t="str">
        <f t="shared" si="17"/>
        <v>000</v>
      </c>
      <c r="G73">
        <v>5</v>
      </c>
      <c r="H73" t="str">
        <f t="shared" si="18"/>
        <v>00</v>
      </c>
      <c r="I73" t="str">
        <f t="shared" si="19"/>
        <v>0</v>
      </c>
      <c r="J73" t="str">
        <f t="shared" si="20"/>
        <v>00</v>
      </c>
      <c r="K73">
        <v>20150630</v>
      </c>
      <c r="L73" t="str">
        <f t="shared" si="21"/>
        <v>002175</v>
      </c>
      <c r="M73" t="str">
        <f t="shared" si="22"/>
        <v>00015</v>
      </c>
      <c r="N73" t="s">
        <v>44</v>
      </c>
      <c r="O73">
        <v>297</v>
      </c>
      <c r="Q73" t="s">
        <v>33</v>
      </c>
      <c r="R73" t="s">
        <v>34</v>
      </c>
      <c r="S73" t="s">
        <v>35</v>
      </c>
      <c r="T73" t="s">
        <v>35</v>
      </c>
      <c r="U73" t="s">
        <v>34</v>
      </c>
      <c r="V73" t="str">
        <f>""</f>
        <v/>
      </c>
      <c r="W73">
        <v>20150623</v>
      </c>
      <c r="X73" t="s">
        <v>45</v>
      </c>
      <c r="Y73" t="s">
        <v>133</v>
      </c>
      <c r="Z73" t="s">
        <v>133</v>
      </c>
      <c r="AA73">
        <v>0</v>
      </c>
      <c r="AB73" t="s">
        <v>38</v>
      </c>
      <c r="AC73" t="s">
        <v>39</v>
      </c>
      <c r="AD73" t="s">
        <v>40</v>
      </c>
      <c r="AE73" t="str">
        <f t="shared" si="15"/>
        <v>06</v>
      </c>
      <c r="AF73" t="s">
        <v>40</v>
      </c>
    </row>
    <row r="74" spans="1:32" x14ac:dyDescent="0.25">
      <c r="A74">
        <v>5</v>
      </c>
      <c r="B74">
        <v>865</v>
      </c>
      <c r="C74" t="str">
        <f t="shared" si="16"/>
        <v>00</v>
      </c>
      <c r="D74">
        <v>2190</v>
      </c>
      <c r="E74" t="str">
        <f>"49"</f>
        <v>49</v>
      </c>
      <c r="F74" t="str">
        <f t="shared" si="17"/>
        <v>000</v>
      </c>
      <c r="G74">
        <v>5</v>
      </c>
      <c r="H74" t="str">
        <f t="shared" si="18"/>
        <v>00</v>
      </c>
      <c r="I74" t="str">
        <f t="shared" si="19"/>
        <v>0</v>
      </c>
      <c r="J74" t="str">
        <f t="shared" si="20"/>
        <v>00</v>
      </c>
      <c r="K74">
        <v>20150630</v>
      </c>
      <c r="L74" t="str">
        <f t="shared" si="21"/>
        <v>002175</v>
      </c>
      <c r="M74" t="str">
        <f t="shared" si="22"/>
        <v>00015</v>
      </c>
      <c r="N74" t="s">
        <v>44</v>
      </c>
      <c r="O74">
        <v>411.15</v>
      </c>
      <c r="Q74" t="s">
        <v>33</v>
      </c>
      <c r="R74" t="s">
        <v>34</v>
      </c>
      <c r="S74" t="s">
        <v>35</v>
      </c>
      <c r="T74" t="s">
        <v>35</v>
      </c>
      <c r="U74" t="s">
        <v>34</v>
      </c>
      <c r="V74" t="str">
        <f>""</f>
        <v/>
      </c>
      <c r="W74">
        <v>20150623</v>
      </c>
      <c r="X74" t="s">
        <v>45</v>
      </c>
      <c r="Y74" t="s">
        <v>134</v>
      </c>
      <c r="Z74" t="s">
        <v>134</v>
      </c>
      <c r="AA74">
        <v>0</v>
      </c>
      <c r="AB74" t="s">
        <v>38</v>
      </c>
      <c r="AC74" t="s">
        <v>39</v>
      </c>
      <c r="AD74" t="s">
        <v>40</v>
      </c>
      <c r="AE74" t="str">
        <f t="shared" si="15"/>
        <v>06</v>
      </c>
      <c r="AF74" t="s">
        <v>40</v>
      </c>
    </row>
    <row r="75" spans="1:32" x14ac:dyDescent="0.25">
      <c r="A75">
        <v>5</v>
      </c>
      <c r="B75">
        <v>865</v>
      </c>
      <c r="C75" t="str">
        <f t="shared" si="16"/>
        <v>00</v>
      </c>
      <c r="D75">
        <v>2190</v>
      </c>
      <c r="E75" t="str">
        <f>"49"</f>
        <v>49</v>
      </c>
      <c r="F75" t="str">
        <f t="shared" si="17"/>
        <v>000</v>
      </c>
      <c r="G75">
        <v>5</v>
      </c>
      <c r="H75" t="str">
        <f t="shared" si="18"/>
        <v>00</v>
      </c>
      <c r="I75" t="str">
        <f t="shared" si="19"/>
        <v>0</v>
      </c>
      <c r="J75" t="str">
        <f t="shared" si="20"/>
        <v>00</v>
      </c>
      <c r="K75">
        <v>20150723</v>
      </c>
      <c r="L75" t="str">
        <f>"002176"</f>
        <v>002176</v>
      </c>
      <c r="M75" t="str">
        <f>"00886"</f>
        <v>00886</v>
      </c>
      <c r="N75" t="s">
        <v>135</v>
      </c>
      <c r="O75">
        <v>500</v>
      </c>
      <c r="Q75" t="s">
        <v>33</v>
      </c>
      <c r="R75" t="s">
        <v>34</v>
      </c>
      <c r="S75" t="s">
        <v>35</v>
      </c>
      <c r="T75" t="s">
        <v>35</v>
      </c>
      <c r="U75" t="s">
        <v>34</v>
      </c>
      <c r="V75" t="str">
        <f>""</f>
        <v/>
      </c>
      <c r="W75">
        <v>20150721</v>
      </c>
      <c r="X75" t="s">
        <v>45</v>
      </c>
      <c r="Y75" t="s">
        <v>136</v>
      </c>
      <c r="Z75" t="s">
        <v>136</v>
      </c>
      <c r="AA75">
        <v>0</v>
      </c>
      <c r="AB75" t="s">
        <v>38</v>
      </c>
      <c r="AC75" t="s">
        <v>39</v>
      </c>
      <c r="AD75" t="s">
        <v>40</v>
      </c>
      <c r="AE75" t="str">
        <f>"07"</f>
        <v>07</v>
      </c>
      <c r="AF75" t="s">
        <v>40</v>
      </c>
    </row>
    <row r="76" spans="1:32" x14ac:dyDescent="0.25">
      <c r="A76">
        <v>5</v>
      </c>
      <c r="B76">
        <v>865</v>
      </c>
      <c r="C76" t="str">
        <f t="shared" si="16"/>
        <v>00</v>
      </c>
      <c r="D76">
        <v>2190</v>
      </c>
      <c r="E76" t="str">
        <f>"49"</f>
        <v>49</v>
      </c>
      <c r="F76" t="str">
        <f t="shared" si="17"/>
        <v>000</v>
      </c>
      <c r="G76">
        <v>5</v>
      </c>
      <c r="H76" t="str">
        <f t="shared" si="18"/>
        <v>00</v>
      </c>
      <c r="I76" t="str">
        <f t="shared" si="19"/>
        <v>0</v>
      </c>
      <c r="J76" t="str">
        <f t="shared" si="20"/>
        <v>00</v>
      </c>
      <c r="K76">
        <v>20150723</v>
      </c>
      <c r="L76" t="str">
        <f>"002177"</f>
        <v>002177</v>
      </c>
      <c r="M76" t="str">
        <f>"00503"</f>
        <v>00503</v>
      </c>
      <c r="N76" t="s">
        <v>137</v>
      </c>
      <c r="O76">
        <v>750</v>
      </c>
      <c r="Q76" t="s">
        <v>33</v>
      </c>
      <c r="R76" t="s">
        <v>34</v>
      </c>
      <c r="S76" t="s">
        <v>35</v>
      </c>
      <c r="T76" t="s">
        <v>35</v>
      </c>
      <c r="U76" t="s">
        <v>34</v>
      </c>
      <c r="V76" t="str">
        <f>""</f>
        <v/>
      </c>
      <c r="W76">
        <v>20150721</v>
      </c>
      <c r="X76" t="s">
        <v>45</v>
      </c>
      <c r="Y76" t="s">
        <v>138</v>
      </c>
      <c r="Z76" t="s">
        <v>138</v>
      </c>
      <c r="AA76">
        <v>0</v>
      </c>
      <c r="AB76" t="s">
        <v>38</v>
      </c>
      <c r="AC76" t="s">
        <v>39</v>
      </c>
      <c r="AD76" t="s">
        <v>40</v>
      </c>
      <c r="AE76" t="str">
        <f>"07"</f>
        <v>07</v>
      </c>
      <c r="AF76" t="s">
        <v>40</v>
      </c>
    </row>
    <row r="77" spans="1:32" x14ac:dyDescent="0.25">
      <c r="A77">
        <v>5</v>
      </c>
      <c r="B77">
        <v>420</v>
      </c>
      <c r="C77" t="str">
        <f>"34"</f>
        <v>34</v>
      </c>
      <c r="D77">
        <v>6219</v>
      </c>
      <c r="E77" t="str">
        <f t="shared" ref="E77:E108" si="23">"00"</f>
        <v>00</v>
      </c>
      <c r="F77" t="str">
        <f>"999"</f>
        <v>999</v>
      </c>
      <c r="G77">
        <v>5</v>
      </c>
      <c r="H77" t="str">
        <f>"99"</f>
        <v>99</v>
      </c>
      <c r="I77" t="str">
        <f t="shared" si="19"/>
        <v>0</v>
      </c>
      <c r="J77" t="str">
        <f t="shared" si="20"/>
        <v>00</v>
      </c>
      <c r="K77">
        <v>20140923</v>
      </c>
      <c r="L77" t="str">
        <f>"002626"</f>
        <v>002626</v>
      </c>
      <c r="M77" t="str">
        <f>"00516"</f>
        <v>00516</v>
      </c>
      <c r="N77" t="s">
        <v>139</v>
      </c>
      <c r="O77" s="1">
        <v>1880</v>
      </c>
      <c r="Q77" t="s">
        <v>33</v>
      </c>
      <c r="R77" t="s">
        <v>34</v>
      </c>
      <c r="S77" t="s">
        <v>35</v>
      </c>
      <c r="T77" t="s">
        <v>35</v>
      </c>
      <c r="U77" t="s">
        <v>34</v>
      </c>
      <c r="V77" t="str">
        <f>""</f>
        <v/>
      </c>
      <c r="W77">
        <v>20141003</v>
      </c>
      <c r="X77" t="s">
        <v>140</v>
      </c>
      <c r="Y77" t="s">
        <v>141</v>
      </c>
      <c r="Z77" t="s">
        <v>141</v>
      </c>
      <c r="AA77">
        <v>0</v>
      </c>
      <c r="AB77" t="s">
        <v>142</v>
      </c>
      <c r="AC77" t="s">
        <v>143</v>
      </c>
      <c r="AD77" t="s">
        <v>144</v>
      </c>
      <c r="AE77" t="str">
        <f t="shared" ref="AE77:AE89" si="24">"09"</f>
        <v>09</v>
      </c>
      <c r="AF77" t="s">
        <v>40</v>
      </c>
    </row>
    <row r="78" spans="1:32" x14ac:dyDescent="0.25">
      <c r="A78">
        <v>5</v>
      </c>
      <c r="B78">
        <v>420</v>
      </c>
      <c r="C78" t="str">
        <f>"34"</f>
        <v>34</v>
      </c>
      <c r="D78">
        <v>6219</v>
      </c>
      <c r="E78" t="str">
        <f t="shared" si="23"/>
        <v>00</v>
      </c>
      <c r="F78" t="str">
        <f>"999"</f>
        <v>999</v>
      </c>
      <c r="G78">
        <v>5</v>
      </c>
      <c r="H78" t="str">
        <f>"99"</f>
        <v>99</v>
      </c>
      <c r="I78" t="str">
        <f t="shared" si="19"/>
        <v>0</v>
      </c>
      <c r="J78" t="str">
        <f t="shared" si="20"/>
        <v>00</v>
      </c>
      <c r="K78">
        <v>20140923</v>
      </c>
      <c r="L78" t="str">
        <f>"002627"</f>
        <v>002627</v>
      </c>
      <c r="M78" t="str">
        <f>"00782"</f>
        <v>00782</v>
      </c>
      <c r="N78" t="s">
        <v>145</v>
      </c>
      <c r="O78" s="1">
        <v>1346</v>
      </c>
      <c r="Q78" t="s">
        <v>33</v>
      </c>
      <c r="R78" t="s">
        <v>34</v>
      </c>
      <c r="S78" t="s">
        <v>35</v>
      </c>
      <c r="T78" t="s">
        <v>35</v>
      </c>
      <c r="U78" t="s">
        <v>34</v>
      </c>
      <c r="V78" t="str">
        <f>""</f>
        <v/>
      </c>
      <c r="W78">
        <v>20141003</v>
      </c>
      <c r="X78" t="s">
        <v>140</v>
      </c>
      <c r="Y78" t="s">
        <v>141</v>
      </c>
      <c r="Z78" t="s">
        <v>141</v>
      </c>
      <c r="AA78">
        <v>0</v>
      </c>
      <c r="AB78" t="s">
        <v>142</v>
      </c>
      <c r="AC78" t="s">
        <v>143</v>
      </c>
      <c r="AD78" t="s">
        <v>144</v>
      </c>
      <c r="AE78" t="str">
        <f t="shared" si="24"/>
        <v>09</v>
      </c>
      <c r="AF78" t="s">
        <v>40</v>
      </c>
    </row>
    <row r="79" spans="1:32" x14ac:dyDescent="0.25">
      <c r="A79">
        <v>5</v>
      </c>
      <c r="B79">
        <v>420</v>
      </c>
      <c r="C79" t="str">
        <f>"11"</f>
        <v>11</v>
      </c>
      <c r="D79">
        <v>6219</v>
      </c>
      <c r="E79" t="str">
        <f t="shared" si="23"/>
        <v>00</v>
      </c>
      <c r="F79" t="str">
        <f>"101"</f>
        <v>101</v>
      </c>
      <c r="G79">
        <v>5</v>
      </c>
      <c r="H79" t="str">
        <f>"11"</f>
        <v>11</v>
      </c>
      <c r="I79" t="str">
        <f t="shared" si="19"/>
        <v>0</v>
      </c>
      <c r="J79" t="str">
        <f t="shared" si="20"/>
        <v>00</v>
      </c>
      <c r="K79">
        <v>20140911</v>
      </c>
      <c r="L79" t="str">
        <f>"002628"</f>
        <v>002628</v>
      </c>
      <c r="M79" t="str">
        <f>"00686"</f>
        <v>00686</v>
      </c>
      <c r="N79" t="s">
        <v>146</v>
      </c>
      <c r="O79" s="1">
        <v>1029.75</v>
      </c>
      <c r="Q79" t="s">
        <v>33</v>
      </c>
      <c r="R79" t="s">
        <v>34</v>
      </c>
      <c r="S79" t="s">
        <v>35</v>
      </c>
      <c r="T79" t="s">
        <v>35</v>
      </c>
      <c r="U79" t="s">
        <v>34</v>
      </c>
      <c r="V79" t="str">
        <f>""</f>
        <v/>
      </c>
      <c r="W79">
        <v>20141003</v>
      </c>
      <c r="X79" t="s">
        <v>147</v>
      </c>
      <c r="Y79" t="s">
        <v>148</v>
      </c>
      <c r="Z79" t="s">
        <v>148</v>
      </c>
      <c r="AA79">
        <v>0</v>
      </c>
      <c r="AB79" t="s">
        <v>142</v>
      </c>
      <c r="AC79" t="s">
        <v>41</v>
      </c>
      <c r="AD79" t="s">
        <v>144</v>
      </c>
      <c r="AE79" t="str">
        <f t="shared" si="24"/>
        <v>09</v>
      </c>
      <c r="AF79" t="s">
        <v>40</v>
      </c>
    </row>
    <row r="80" spans="1:32" x14ac:dyDescent="0.25">
      <c r="A80">
        <v>5</v>
      </c>
      <c r="B80">
        <v>420</v>
      </c>
      <c r="C80" t="str">
        <f>"34"</f>
        <v>34</v>
      </c>
      <c r="D80">
        <v>6219</v>
      </c>
      <c r="E80" t="str">
        <f t="shared" si="23"/>
        <v>00</v>
      </c>
      <c r="F80" t="str">
        <f t="shared" ref="F80:F86" si="25">"999"</f>
        <v>999</v>
      </c>
      <c r="G80">
        <v>5</v>
      </c>
      <c r="H80" t="str">
        <f>"99"</f>
        <v>99</v>
      </c>
      <c r="I80" t="str">
        <f t="shared" si="19"/>
        <v>0</v>
      </c>
      <c r="J80" t="str">
        <f t="shared" si="20"/>
        <v>00</v>
      </c>
      <c r="K80">
        <v>20140904</v>
      </c>
      <c r="L80" t="str">
        <f>"002629"</f>
        <v>002629</v>
      </c>
      <c r="M80" t="str">
        <f>"00782"</f>
        <v>00782</v>
      </c>
      <c r="N80" t="s">
        <v>145</v>
      </c>
      <c r="O80">
        <v>609</v>
      </c>
      <c r="Q80" t="s">
        <v>33</v>
      </c>
      <c r="R80" t="s">
        <v>34</v>
      </c>
      <c r="S80" t="s">
        <v>35</v>
      </c>
      <c r="T80" t="s">
        <v>35</v>
      </c>
      <c r="U80" t="s">
        <v>34</v>
      </c>
      <c r="V80" t="str">
        <f>""</f>
        <v/>
      </c>
      <c r="W80">
        <v>20141003</v>
      </c>
      <c r="X80" t="s">
        <v>140</v>
      </c>
      <c r="Y80" t="s">
        <v>141</v>
      </c>
      <c r="Z80" t="s">
        <v>141</v>
      </c>
      <c r="AA80">
        <v>0</v>
      </c>
      <c r="AB80" t="s">
        <v>142</v>
      </c>
      <c r="AC80" t="s">
        <v>143</v>
      </c>
      <c r="AD80" t="s">
        <v>144</v>
      </c>
      <c r="AE80" t="str">
        <f t="shared" si="24"/>
        <v>09</v>
      </c>
      <c r="AF80" t="s">
        <v>40</v>
      </c>
    </row>
    <row r="81" spans="1:32" x14ac:dyDescent="0.25">
      <c r="A81">
        <v>5</v>
      </c>
      <c r="B81">
        <v>429</v>
      </c>
      <c r="C81" t="str">
        <f t="shared" ref="C81:C86" si="26">"71"</f>
        <v>71</v>
      </c>
      <c r="D81">
        <v>6521</v>
      </c>
      <c r="E81" t="str">
        <f t="shared" si="23"/>
        <v>00</v>
      </c>
      <c r="F81" t="str">
        <f t="shared" si="25"/>
        <v>999</v>
      </c>
      <c r="G81">
        <v>5</v>
      </c>
      <c r="H81" t="str">
        <f>"98"</f>
        <v>98</v>
      </c>
      <c r="I81" t="str">
        <f t="shared" si="19"/>
        <v>0</v>
      </c>
      <c r="J81" t="str">
        <f t="shared" si="20"/>
        <v>00</v>
      </c>
      <c r="K81">
        <v>20140901</v>
      </c>
      <c r="L81" t="str">
        <f>"002630"</f>
        <v>002630</v>
      </c>
      <c r="M81" t="str">
        <f>"00049"</f>
        <v>00049</v>
      </c>
      <c r="N81" t="s">
        <v>149</v>
      </c>
      <c r="O81" s="1">
        <v>12784.83</v>
      </c>
      <c r="Q81" t="s">
        <v>33</v>
      </c>
      <c r="R81" t="s">
        <v>34</v>
      </c>
      <c r="S81" t="s">
        <v>35</v>
      </c>
      <c r="T81" t="s">
        <v>35</v>
      </c>
      <c r="U81" t="s">
        <v>34</v>
      </c>
      <c r="V81" t="str">
        <f>""</f>
        <v/>
      </c>
      <c r="W81">
        <v>20141003</v>
      </c>
      <c r="X81" t="s">
        <v>150</v>
      </c>
      <c r="Y81" t="s">
        <v>151</v>
      </c>
      <c r="Z81" t="s">
        <v>151</v>
      </c>
      <c r="AA81">
        <v>0</v>
      </c>
      <c r="AB81" t="s">
        <v>152</v>
      </c>
      <c r="AC81" t="s">
        <v>143</v>
      </c>
      <c r="AD81" t="s">
        <v>144</v>
      </c>
      <c r="AE81" t="str">
        <f t="shared" si="24"/>
        <v>09</v>
      </c>
      <c r="AF81" t="s">
        <v>40</v>
      </c>
    </row>
    <row r="82" spans="1:32" x14ac:dyDescent="0.25">
      <c r="A82">
        <v>5</v>
      </c>
      <c r="B82">
        <v>429</v>
      </c>
      <c r="C82" t="str">
        <f t="shared" si="26"/>
        <v>71</v>
      </c>
      <c r="D82">
        <v>6521</v>
      </c>
      <c r="E82" t="str">
        <f t="shared" si="23"/>
        <v>00</v>
      </c>
      <c r="F82" t="str">
        <f t="shared" si="25"/>
        <v>999</v>
      </c>
      <c r="G82">
        <v>5</v>
      </c>
      <c r="H82" t="str">
        <f>"98"</f>
        <v>98</v>
      </c>
      <c r="I82" t="str">
        <f t="shared" si="19"/>
        <v>0</v>
      </c>
      <c r="J82" t="str">
        <f>"01"</f>
        <v>01</v>
      </c>
      <c r="K82">
        <v>20140901</v>
      </c>
      <c r="L82" t="str">
        <f>"002630"</f>
        <v>002630</v>
      </c>
      <c r="M82" t="str">
        <f>"00049"</f>
        <v>00049</v>
      </c>
      <c r="N82" t="s">
        <v>149</v>
      </c>
      <c r="O82" s="1">
        <v>3962.57</v>
      </c>
      <c r="Q82" t="s">
        <v>33</v>
      </c>
      <c r="R82" t="s">
        <v>34</v>
      </c>
      <c r="S82" t="s">
        <v>35</v>
      </c>
      <c r="T82" t="s">
        <v>35</v>
      </c>
      <c r="U82" t="s">
        <v>34</v>
      </c>
      <c r="V82" t="str">
        <f>""</f>
        <v/>
      </c>
      <c r="W82">
        <v>20141003</v>
      </c>
      <c r="X82" t="s">
        <v>153</v>
      </c>
      <c r="Y82" t="s">
        <v>154</v>
      </c>
      <c r="Z82" t="s">
        <v>154</v>
      </c>
      <c r="AA82">
        <v>0</v>
      </c>
      <c r="AB82" t="s">
        <v>152</v>
      </c>
      <c r="AC82" t="s">
        <v>143</v>
      </c>
      <c r="AD82" t="s">
        <v>144</v>
      </c>
      <c r="AE82" t="str">
        <f t="shared" si="24"/>
        <v>09</v>
      </c>
      <c r="AF82" t="s">
        <v>40</v>
      </c>
    </row>
    <row r="83" spans="1:32" x14ac:dyDescent="0.25">
      <c r="A83">
        <v>5</v>
      </c>
      <c r="B83">
        <v>429</v>
      </c>
      <c r="C83" t="str">
        <f t="shared" si="26"/>
        <v>71</v>
      </c>
      <c r="D83">
        <v>6521</v>
      </c>
      <c r="E83" t="str">
        <f t="shared" si="23"/>
        <v>00</v>
      </c>
      <c r="F83" t="str">
        <f t="shared" si="25"/>
        <v>999</v>
      </c>
      <c r="G83">
        <v>5</v>
      </c>
      <c r="H83" t="str">
        <f>"99"</f>
        <v>99</v>
      </c>
      <c r="I83" t="str">
        <f t="shared" si="19"/>
        <v>0</v>
      </c>
      <c r="J83" t="str">
        <f>"00"</f>
        <v>00</v>
      </c>
      <c r="K83">
        <v>20140901</v>
      </c>
      <c r="L83" t="str">
        <f>"002630"</f>
        <v>002630</v>
      </c>
      <c r="M83" t="str">
        <f>"00049"</f>
        <v>00049</v>
      </c>
      <c r="N83" t="s">
        <v>149</v>
      </c>
      <c r="O83">
        <v>265.8</v>
      </c>
      <c r="Q83" t="s">
        <v>33</v>
      </c>
      <c r="R83" t="s">
        <v>34</v>
      </c>
      <c r="S83" t="s">
        <v>35</v>
      </c>
      <c r="T83" t="s">
        <v>35</v>
      </c>
      <c r="U83" t="s">
        <v>34</v>
      </c>
      <c r="V83" t="str">
        <f>""</f>
        <v/>
      </c>
      <c r="W83">
        <v>20141003</v>
      </c>
      <c r="X83" t="s">
        <v>155</v>
      </c>
      <c r="Y83" t="s">
        <v>156</v>
      </c>
      <c r="Z83" t="s">
        <v>156</v>
      </c>
      <c r="AA83">
        <v>0</v>
      </c>
      <c r="AB83" t="s">
        <v>152</v>
      </c>
      <c r="AC83" t="s">
        <v>143</v>
      </c>
      <c r="AD83" t="s">
        <v>144</v>
      </c>
      <c r="AE83" t="str">
        <f t="shared" si="24"/>
        <v>09</v>
      </c>
      <c r="AF83" t="s">
        <v>40</v>
      </c>
    </row>
    <row r="84" spans="1:32" x14ac:dyDescent="0.25">
      <c r="A84">
        <v>5</v>
      </c>
      <c r="B84">
        <v>429</v>
      </c>
      <c r="C84" t="str">
        <f t="shared" si="26"/>
        <v>71</v>
      </c>
      <c r="D84">
        <v>6521</v>
      </c>
      <c r="E84" t="str">
        <f t="shared" si="23"/>
        <v>00</v>
      </c>
      <c r="F84" t="str">
        <f t="shared" si="25"/>
        <v>999</v>
      </c>
      <c r="G84">
        <v>5</v>
      </c>
      <c r="H84" t="str">
        <f>"99"</f>
        <v>99</v>
      </c>
      <c r="I84" t="str">
        <f t="shared" si="19"/>
        <v>0</v>
      </c>
      <c r="J84" t="str">
        <f>"02"</f>
        <v>02</v>
      </c>
      <c r="K84">
        <v>20140901</v>
      </c>
      <c r="L84" t="str">
        <f>"002630"</f>
        <v>002630</v>
      </c>
      <c r="M84" t="str">
        <f>"00049"</f>
        <v>00049</v>
      </c>
      <c r="N84" t="s">
        <v>149</v>
      </c>
      <c r="O84" s="1">
        <v>1774.9</v>
      </c>
      <c r="Q84" t="s">
        <v>33</v>
      </c>
      <c r="R84" t="s">
        <v>34</v>
      </c>
      <c r="S84" t="s">
        <v>35</v>
      </c>
      <c r="T84" t="s">
        <v>35</v>
      </c>
      <c r="U84" t="s">
        <v>34</v>
      </c>
      <c r="V84" t="str">
        <f>""</f>
        <v/>
      </c>
      <c r="W84">
        <v>20141003</v>
      </c>
      <c r="X84" t="s">
        <v>157</v>
      </c>
      <c r="Y84" t="s">
        <v>158</v>
      </c>
      <c r="Z84" t="s">
        <v>158</v>
      </c>
      <c r="AA84">
        <v>0</v>
      </c>
      <c r="AB84" t="s">
        <v>152</v>
      </c>
      <c r="AC84" t="s">
        <v>143</v>
      </c>
      <c r="AD84" t="s">
        <v>144</v>
      </c>
      <c r="AE84" t="str">
        <f t="shared" si="24"/>
        <v>09</v>
      </c>
      <c r="AF84" t="s">
        <v>40</v>
      </c>
    </row>
    <row r="85" spans="1:32" x14ac:dyDescent="0.25">
      <c r="A85">
        <v>5</v>
      </c>
      <c r="B85">
        <v>429</v>
      </c>
      <c r="C85" t="str">
        <f t="shared" si="26"/>
        <v>71</v>
      </c>
      <c r="D85">
        <v>6521</v>
      </c>
      <c r="E85" t="str">
        <f t="shared" si="23"/>
        <v>00</v>
      </c>
      <c r="F85" t="str">
        <f t="shared" si="25"/>
        <v>999</v>
      </c>
      <c r="G85">
        <v>5</v>
      </c>
      <c r="H85" t="str">
        <f>"99"</f>
        <v>99</v>
      </c>
      <c r="I85" t="str">
        <f t="shared" si="19"/>
        <v>0</v>
      </c>
      <c r="J85" t="str">
        <f>"03"</f>
        <v>03</v>
      </c>
      <c r="K85">
        <v>20140903</v>
      </c>
      <c r="L85" t="str">
        <f>"002631"</f>
        <v>002631</v>
      </c>
      <c r="M85" t="str">
        <f>"00673"</f>
        <v>00673</v>
      </c>
      <c r="N85" t="s">
        <v>159</v>
      </c>
      <c r="O85" s="1">
        <v>6559.76</v>
      </c>
      <c r="Q85" t="s">
        <v>33</v>
      </c>
      <c r="R85" t="s">
        <v>34</v>
      </c>
      <c r="S85" t="s">
        <v>35</v>
      </c>
      <c r="T85" t="s">
        <v>35</v>
      </c>
      <c r="U85" t="s">
        <v>34</v>
      </c>
      <c r="V85" t="str">
        <f>""</f>
        <v/>
      </c>
      <c r="W85">
        <v>20141003</v>
      </c>
      <c r="X85" t="s">
        <v>160</v>
      </c>
      <c r="Y85" t="s">
        <v>161</v>
      </c>
      <c r="Z85" t="s">
        <v>161</v>
      </c>
      <c r="AA85">
        <v>0</v>
      </c>
      <c r="AB85" t="s">
        <v>152</v>
      </c>
      <c r="AC85" t="s">
        <v>143</v>
      </c>
      <c r="AD85" t="s">
        <v>144</v>
      </c>
      <c r="AE85" t="str">
        <f t="shared" si="24"/>
        <v>09</v>
      </c>
      <c r="AF85" t="s">
        <v>40</v>
      </c>
    </row>
    <row r="86" spans="1:32" x14ac:dyDescent="0.25">
      <c r="A86">
        <v>5</v>
      </c>
      <c r="B86">
        <v>429</v>
      </c>
      <c r="C86" t="str">
        <f t="shared" si="26"/>
        <v>71</v>
      </c>
      <c r="D86">
        <v>6521</v>
      </c>
      <c r="E86" t="str">
        <f t="shared" si="23"/>
        <v>00</v>
      </c>
      <c r="F86" t="str">
        <f t="shared" si="25"/>
        <v>999</v>
      </c>
      <c r="G86">
        <v>5</v>
      </c>
      <c r="H86" t="str">
        <f>"99"</f>
        <v>99</v>
      </c>
      <c r="I86" t="str">
        <f t="shared" si="19"/>
        <v>0</v>
      </c>
      <c r="J86" t="str">
        <f>"04"</f>
        <v>04</v>
      </c>
      <c r="K86">
        <v>20140903</v>
      </c>
      <c r="L86" t="str">
        <f>"002631"</f>
        <v>002631</v>
      </c>
      <c r="M86" t="str">
        <f>"00673"</f>
        <v>00673</v>
      </c>
      <c r="N86" t="s">
        <v>159</v>
      </c>
      <c r="O86" s="1">
        <v>9916.67</v>
      </c>
      <c r="Q86" t="s">
        <v>33</v>
      </c>
      <c r="R86" t="s">
        <v>34</v>
      </c>
      <c r="S86" t="s">
        <v>35</v>
      </c>
      <c r="T86" t="s">
        <v>35</v>
      </c>
      <c r="U86" t="s">
        <v>34</v>
      </c>
      <c r="V86" t="str">
        <f>""</f>
        <v/>
      </c>
      <c r="W86">
        <v>20141003</v>
      </c>
      <c r="X86" t="s">
        <v>162</v>
      </c>
      <c r="Y86" t="s">
        <v>163</v>
      </c>
      <c r="Z86" t="s">
        <v>163</v>
      </c>
      <c r="AA86">
        <v>0</v>
      </c>
      <c r="AB86" t="s">
        <v>152</v>
      </c>
      <c r="AC86" t="s">
        <v>143</v>
      </c>
      <c r="AD86" t="s">
        <v>144</v>
      </c>
      <c r="AE86" t="str">
        <f t="shared" si="24"/>
        <v>09</v>
      </c>
      <c r="AF86" t="s">
        <v>40</v>
      </c>
    </row>
    <row r="87" spans="1:32" x14ac:dyDescent="0.25">
      <c r="A87">
        <v>5</v>
      </c>
      <c r="B87">
        <v>420</v>
      </c>
      <c r="C87" t="str">
        <f>"11"</f>
        <v>11</v>
      </c>
      <c r="D87">
        <v>6219</v>
      </c>
      <c r="E87" t="str">
        <f t="shared" si="23"/>
        <v>00</v>
      </c>
      <c r="F87" t="str">
        <f>"001"</f>
        <v>001</v>
      </c>
      <c r="G87">
        <v>5</v>
      </c>
      <c r="H87" t="str">
        <f>"11"</f>
        <v>11</v>
      </c>
      <c r="I87" t="str">
        <f t="shared" si="19"/>
        <v>0</v>
      </c>
      <c r="J87" t="str">
        <f>"00"</f>
        <v>00</v>
      </c>
      <c r="K87">
        <v>20140902</v>
      </c>
      <c r="L87" t="str">
        <f>"002632"</f>
        <v>002632</v>
      </c>
      <c r="M87" t="str">
        <f>"00704"</f>
        <v>00704</v>
      </c>
      <c r="N87" t="s">
        <v>164</v>
      </c>
      <c r="O87">
        <v>863.87</v>
      </c>
      <c r="Q87" t="s">
        <v>33</v>
      </c>
      <c r="R87" t="s">
        <v>34</v>
      </c>
      <c r="S87" t="s">
        <v>35</v>
      </c>
      <c r="T87" t="s">
        <v>35</v>
      </c>
      <c r="U87" t="s">
        <v>34</v>
      </c>
      <c r="V87" t="str">
        <f>""</f>
        <v/>
      </c>
      <c r="W87">
        <v>20141003</v>
      </c>
      <c r="X87" t="s">
        <v>165</v>
      </c>
      <c r="Y87" t="s">
        <v>141</v>
      </c>
      <c r="Z87" t="s">
        <v>141</v>
      </c>
      <c r="AA87">
        <v>0</v>
      </c>
      <c r="AB87" t="s">
        <v>142</v>
      </c>
      <c r="AC87" t="s">
        <v>41</v>
      </c>
      <c r="AD87" t="s">
        <v>144</v>
      </c>
      <c r="AE87" t="str">
        <f t="shared" si="24"/>
        <v>09</v>
      </c>
      <c r="AF87" t="s">
        <v>40</v>
      </c>
    </row>
    <row r="88" spans="1:32" x14ac:dyDescent="0.25">
      <c r="A88">
        <v>5</v>
      </c>
      <c r="B88">
        <v>420</v>
      </c>
      <c r="C88" t="str">
        <f>"11"</f>
        <v>11</v>
      </c>
      <c r="D88">
        <v>6219</v>
      </c>
      <c r="E88" t="str">
        <f t="shared" si="23"/>
        <v>00</v>
      </c>
      <c r="F88" t="str">
        <f>"999"</f>
        <v>999</v>
      </c>
      <c r="G88">
        <v>5</v>
      </c>
      <c r="H88" t="str">
        <f>"11"</f>
        <v>11</v>
      </c>
      <c r="I88" t="str">
        <f t="shared" si="19"/>
        <v>0</v>
      </c>
      <c r="J88" t="str">
        <f>"00"</f>
        <v>00</v>
      </c>
      <c r="K88">
        <v>20140902</v>
      </c>
      <c r="L88" t="str">
        <f>"002632"</f>
        <v>002632</v>
      </c>
      <c r="M88" t="str">
        <f>"00704"</f>
        <v>00704</v>
      </c>
      <c r="N88" t="s">
        <v>164</v>
      </c>
      <c r="O88">
        <v>863.87</v>
      </c>
      <c r="Q88" t="s">
        <v>33</v>
      </c>
      <c r="R88" t="s">
        <v>34</v>
      </c>
      <c r="S88" t="s">
        <v>35</v>
      </c>
      <c r="T88" t="s">
        <v>35</v>
      </c>
      <c r="U88" t="s">
        <v>34</v>
      </c>
      <c r="V88" t="str">
        <f>""</f>
        <v/>
      </c>
      <c r="W88">
        <v>20141003</v>
      </c>
      <c r="X88" t="s">
        <v>166</v>
      </c>
      <c r="Y88" t="s">
        <v>141</v>
      </c>
      <c r="Z88" t="s">
        <v>141</v>
      </c>
      <c r="AA88">
        <v>0</v>
      </c>
      <c r="AB88" t="s">
        <v>142</v>
      </c>
      <c r="AC88" t="s">
        <v>143</v>
      </c>
      <c r="AD88" t="s">
        <v>144</v>
      </c>
      <c r="AE88" t="str">
        <f t="shared" si="24"/>
        <v>09</v>
      </c>
      <c r="AF88" t="s">
        <v>40</v>
      </c>
    </row>
    <row r="89" spans="1:32" x14ac:dyDescent="0.25">
      <c r="A89">
        <v>5</v>
      </c>
      <c r="B89">
        <v>420</v>
      </c>
      <c r="C89" t="str">
        <f>"41"</f>
        <v>41</v>
      </c>
      <c r="D89">
        <v>6499</v>
      </c>
      <c r="E89" t="str">
        <f t="shared" si="23"/>
        <v>00</v>
      </c>
      <c r="F89" t="str">
        <f>"750"</f>
        <v>750</v>
      </c>
      <c r="G89">
        <v>5</v>
      </c>
      <c r="H89" t="str">
        <f>"99"</f>
        <v>99</v>
      </c>
      <c r="I89" t="str">
        <f t="shared" si="19"/>
        <v>0</v>
      </c>
      <c r="J89" t="str">
        <f>"00"</f>
        <v>00</v>
      </c>
      <c r="K89">
        <v>20140920</v>
      </c>
      <c r="L89" t="str">
        <f>"002633"</f>
        <v>002633</v>
      </c>
      <c r="M89" t="str">
        <f>"00548"</f>
        <v>00548</v>
      </c>
      <c r="N89" t="s">
        <v>167</v>
      </c>
      <c r="O89">
        <v>25</v>
      </c>
      <c r="Q89" t="s">
        <v>33</v>
      </c>
      <c r="R89" t="s">
        <v>34</v>
      </c>
      <c r="S89" t="s">
        <v>35</v>
      </c>
      <c r="T89" t="s">
        <v>35</v>
      </c>
      <c r="U89" t="s">
        <v>34</v>
      </c>
      <c r="V89" t="str">
        <f>""</f>
        <v/>
      </c>
      <c r="W89">
        <v>20141003</v>
      </c>
      <c r="X89" t="s">
        <v>168</v>
      </c>
      <c r="Y89" t="s">
        <v>169</v>
      </c>
      <c r="Z89" t="s">
        <v>169</v>
      </c>
      <c r="AA89">
        <v>0</v>
      </c>
      <c r="AB89" t="s">
        <v>142</v>
      </c>
      <c r="AC89" t="s">
        <v>170</v>
      </c>
      <c r="AD89" t="s">
        <v>144</v>
      </c>
      <c r="AE89" t="str">
        <f t="shared" si="24"/>
        <v>09</v>
      </c>
      <c r="AF89" t="s">
        <v>40</v>
      </c>
    </row>
    <row r="90" spans="1:32" x14ac:dyDescent="0.25">
      <c r="A90">
        <v>5</v>
      </c>
      <c r="B90">
        <v>429</v>
      </c>
      <c r="C90" t="str">
        <f>"71"</f>
        <v>71</v>
      </c>
      <c r="D90">
        <v>6521</v>
      </c>
      <c r="E90" t="str">
        <f t="shared" si="23"/>
        <v>00</v>
      </c>
      <c r="F90" t="str">
        <f>"999"</f>
        <v>999</v>
      </c>
      <c r="G90">
        <v>5</v>
      </c>
      <c r="H90" t="str">
        <f>"98"</f>
        <v>98</v>
      </c>
      <c r="I90" t="str">
        <f t="shared" si="19"/>
        <v>0</v>
      </c>
      <c r="J90" t="str">
        <f>"00"</f>
        <v>00</v>
      </c>
      <c r="K90">
        <v>20141001</v>
      </c>
      <c r="L90" t="str">
        <f>"002634"</f>
        <v>002634</v>
      </c>
      <c r="M90" t="str">
        <f>"00049"</f>
        <v>00049</v>
      </c>
      <c r="N90" t="s">
        <v>149</v>
      </c>
      <c r="O90" s="1">
        <v>12784.83</v>
      </c>
      <c r="Q90" t="s">
        <v>33</v>
      </c>
      <c r="R90" t="s">
        <v>34</v>
      </c>
      <c r="S90" t="s">
        <v>35</v>
      </c>
      <c r="T90" t="s">
        <v>35</v>
      </c>
      <c r="U90" t="s">
        <v>34</v>
      </c>
      <c r="V90" t="str">
        <f>""</f>
        <v/>
      </c>
      <c r="W90">
        <v>20141016</v>
      </c>
      <c r="X90" t="s">
        <v>150</v>
      </c>
      <c r="Y90" t="s">
        <v>151</v>
      </c>
      <c r="Z90" t="s">
        <v>151</v>
      </c>
      <c r="AA90">
        <v>0</v>
      </c>
      <c r="AB90" t="s">
        <v>152</v>
      </c>
      <c r="AC90" t="s">
        <v>143</v>
      </c>
      <c r="AD90" t="s">
        <v>144</v>
      </c>
      <c r="AE90" t="str">
        <f t="shared" ref="AE90:AE115" si="27">"10"</f>
        <v>10</v>
      </c>
      <c r="AF90" t="s">
        <v>40</v>
      </c>
    </row>
    <row r="91" spans="1:32" x14ac:dyDescent="0.25">
      <c r="A91">
        <v>5</v>
      </c>
      <c r="B91">
        <v>429</v>
      </c>
      <c r="C91" t="str">
        <f>"71"</f>
        <v>71</v>
      </c>
      <c r="D91">
        <v>6521</v>
      </c>
      <c r="E91" t="str">
        <f t="shared" si="23"/>
        <v>00</v>
      </c>
      <c r="F91" t="str">
        <f>"999"</f>
        <v>999</v>
      </c>
      <c r="G91">
        <v>5</v>
      </c>
      <c r="H91" t="str">
        <f>"98"</f>
        <v>98</v>
      </c>
      <c r="I91" t="str">
        <f t="shared" si="19"/>
        <v>0</v>
      </c>
      <c r="J91" t="str">
        <f>"01"</f>
        <v>01</v>
      </c>
      <c r="K91">
        <v>20141001</v>
      </c>
      <c r="L91" t="str">
        <f>"002634"</f>
        <v>002634</v>
      </c>
      <c r="M91" t="str">
        <f>"00049"</f>
        <v>00049</v>
      </c>
      <c r="N91" t="s">
        <v>149</v>
      </c>
      <c r="O91" s="1">
        <v>3962.57</v>
      </c>
      <c r="Q91" t="s">
        <v>33</v>
      </c>
      <c r="R91" t="s">
        <v>34</v>
      </c>
      <c r="S91" t="s">
        <v>35</v>
      </c>
      <c r="T91" t="s">
        <v>35</v>
      </c>
      <c r="U91" t="s">
        <v>34</v>
      </c>
      <c r="V91" t="str">
        <f>""</f>
        <v/>
      </c>
      <c r="W91">
        <v>20141016</v>
      </c>
      <c r="X91" t="s">
        <v>153</v>
      </c>
      <c r="Y91" t="s">
        <v>154</v>
      </c>
      <c r="Z91" t="s">
        <v>154</v>
      </c>
      <c r="AA91">
        <v>0</v>
      </c>
      <c r="AB91" t="s">
        <v>152</v>
      </c>
      <c r="AC91" t="s">
        <v>143</v>
      </c>
      <c r="AD91" t="s">
        <v>144</v>
      </c>
      <c r="AE91" t="str">
        <f t="shared" si="27"/>
        <v>10</v>
      </c>
      <c r="AF91" t="s">
        <v>40</v>
      </c>
    </row>
    <row r="92" spans="1:32" x14ac:dyDescent="0.25">
      <c r="A92">
        <v>5</v>
      </c>
      <c r="B92">
        <v>429</v>
      </c>
      <c r="C92" t="str">
        <f>"71"</f>
        <v>71</v>
      </c>
      <c r="D92">
        <v>6521</v>
      </c>
      <c r="E92" t="str">
        <f t="shared" si="23"/>
        <v>00</v>
      </c>
      <c r="F92" t="str">
        <f>"999"</f>
        <v>999</v>
      </c>
      <c r="G92">
        <v>5</v>
      </c>
      <c r="H92" t="str">
        <f>"99"</f>
        <v>99</v>
      </c>
      <c r="I92" t="str">
        <f t="shared" si="19"/>
        <v>0</v>
      </c>
      <c r="J92" t="str">
        <f>"00"</f>
        <v>00</v>
      </c>
      <c r="K92">
        <v>20141001</v>
      </c>
      <c r="L92" t="str">
        <f>"002634"</f>
        <v>002634</v>
      </c>
      <c r="M92" t="str">
        <f>"00049"</f>
        <v>00049</v>
      </c>
      <c r="N92" t="s">
        <v>149</v>
      </c>
      <c r="O92">
        <v>265.8</v>
      </c>
      <c r="Q92" t="s">
        <v>33</v>
      </c>
      <c r="R92" t="s">
        <v>34</v>
      </c>
      <c r="S92" t="s">
        <v>35</v>
      </c>
      <c r="T92" t="s">
        <v>35</v>
      </c>
      <c r="U92" t="s">
        <v>34</v>
      </c>
      <c r="V92" t="str">
        <f>""</f>
        <v/>
      </c>
      <c r="W92">
        <v>20141016</v>
      </c>
      <c r="X92" t="s">
        <v>155</v>
      </c>
      <c r="Y92" t="s">
        <v>156</v>
      </c>
      <c r="Z92" t="s">
        <v>156</v>
      </c>
      <c r="AA92">
        <v>0</v>
      </c>
      <c r="AB92" t="s">
        <v>152</v>
      </c>
      <c r="AC92" t="s">
        <v>143</v>
      </c>
      <c r="AD92" t="s">
        <v>144</v>
      </c>
      <c r="AE92" t="str">
        <f t="shared" si="27"/>
        <v>10</v>
      </c>
      <c r="AF92" t="s">
        <v>40</v>
      </c>
    </row>
    <row r="93" spans="1:32" x14ac:dyDescent="0.25">
      <c r="A93">
        <v>5</v>
      </c>
      <c r="B93">
        <v>429</v>
      </c>
      <c r="C93" t="str">
        <f>"71"</f>
        <v>71</v>
      </c>
      <c r="D93">
        <v>6521</v>
      </c>
      <c r="E93" t="str">
        <f t="shared" si="23"/>
        <v>00</v>
      </c>
      <c r="F93" t="str">
        <f>"999"</f>
        <v>999</v>
      </c>
      <c r="G93">
        <v>5</v>
      </c>
      <c r="H93" t="str">
        <f>"99"</f>
        <v>99</v>
      </c>
      <c r="I93" t="str">
        <f t="shared" si="19"/>
        <v>0</v>
      </c>
      <c r="J93" t="str">
        <f>"02"</f>
        <v>02</v>
      </c>
      <c r="K93">
        <v>20141001</v>
      </c>
      <c r="L93" t="str">
        <f>"002634"</f>
        <v>002634</v>
      </c>
      <c r="M93" t="str">
        <f>"00049"</f>
        <v>00049</v>
      </c>
      <c r="N93" t="s">
        <v>149</v>
      </c>
      <c r="O93" s="1">
        <v>1774.9</v>
      </c>
      <c r="Q93" t="s">
        <v>33</v>
      </c>
      <c r="R93" t="s">
        <v>34</v>
      </c>
      <c r="S93" t="s">
        <v>35</v>
      </c>
      <c r="T93" t="s">
        <v>35</v>
      </c>
      <c r="U93" t="s">
        <v>34</v>
      </c>
      <c r="V93" t="str">
        <f>""</f>
        <v/>
      </c>
      <c r="W93">
        <v>20141016</v>
      </c>
      <c r="X93" t="s">
        <v>157</v>
      </c>
      <c r="Y93" t="s">
        <v>158</v>
      </c>
      <c r="Z93" t="s">
        <v>158</v>
      </c>
      <c r="AA93">
        <v>0</v>
      </c>
      <c r="AB93" t="s">
        <v>152</v>
      </c>
      <c r="AC93" t="s">
        <v>143</v>
      </c>
      <c r="AD93" t="s">
        <v>144</v>
      </c>
      <c r="AE93" t="str">
        <f t="shared" si="27"/>
        <v>10</v>
      </c>
      <c r="AF93" t="s">
        <v>40</v>
      </c>
    </row>
    <row r="94" spans="1:32" x14ac:dyDescent="0.25">
      <c r="A94">
        <v>5</v>
      </c>
      <c r="B94">
        <v>420</v>
      </c>
      <c r="C94" t="str">
        <f>"41"</f>
        <v>41</v>
      </c>
      <c r="D94">
        <v>6499</v>
      </c>
      <c r="E94" t="str">
        <f t="shared" si="23"/>
        <v>00</v>
      </c>
      <c r="F94" t="str">
        <f>"750"</f>
        <v>750</v>
      </c>
      <c r="G94">
        <v>5</v>
      </c>
      <c r="H94" t="str">
        <f>"99"</f>
        <v>99</v>
      </c>
      <c r="I94" t="str">
        <f t="shared" si="19"/>
        <v>0</v>
      </c>
      <c r="J94" t="str">
        <f>"00"</f>
        <v>00</v>
      </c>
      <c r="K94">
        <v>20141002</v>
      </c>
      <c r="L94" t="str">
        <f>"002635"</f>
        <v>002635</v>
      </c>
      <c r="M94" t="str">
        <f>"00673"</f>
        <v>00673</v>
      </c>
      <c r="N94" t="s">
        <v>159</v>
      </c>
      <c r="O94">
        <v>13</v>
      </c>
      <c r="Q94" t="s">
        <v>33</v>
      </c>
      <c r="R94" t="s">
        <v>34</v>
      </c>
      <c r="S94" t="s">
        <v>35</v>
      </c>
      <c r="T94" t="s">
        <v>35</v>
      </c>
      <c r="U94" t="s">
        <v>34</v>
      </c>
      <c r="V94" t="str">
        <f>""</f>
        <v/>
      </c>
      <c r="W94">
        <v>20141016</v>
      </c>
      <c r="X94" t="s">
        <v>168</v>
      </c>
      <c r="Y94" t="s">
        <v>171</v>
      </c>
      <c r="Z94" t="s">
        <v>171</v>
      </c>
      <c r="AA94">
        <v>0</v>
      </c>
      <c r="AB94" t="s">
        <v>142</v>
      </c>
      <c r="AC94" t="s">
        <v>170</v>
      </c>
      <c r="AD94" t="s">
        <v>144</v>
      </c>
      <c r="AE94" t="str">
        <f t="shared" si="27"/>
        <v>10</v>
      </c>
      <c r="AF94" t="s">
        <v>40</v>
      </c>
    </row>
    <row r="95" spans="1:32" x14ac:dyDescent="0.25">
      <c r="A95">
        <v>5</v>
      </c>
      <c r="B95">
        <v>429</v>
      </c>
      <c r="C95" t="str">
        <f>"71"</f>
        <v>71</v>
      </c>
      <c r="D95">
        <v>6521</v>
      </c>
      <c r="E95" t="str">
        <f t="shared" si="23"/>
        <v>00</v>
      </c>
      <c r="F95" t="str">
        <f>"999"</f>
        <v>999</v>
      </c>
      <c r="G95">
        <v>5</v>
      </c>
      <c r="H95" t="str">
        <f>"99"</f>
        <v>99</v>
      </c>
      <c r="I95" t="str">
        <f t="shared" si="19"/>
        <v>0</v>
      </c>
      <c r="J95" t="str">
        <f>"03"</f>
        <v>03</v>
      </c>
      <c r="K95">
        <v>20141002</v>
      </c>
      <c r="L95" t="str">
        <f>"002635"</f>
        <v>002635</v>
      </c>
      <c r="M95" t="str">
        <f>"00673"</f>
        <v>00673</v>
      </c>
      <c r="N95" t="s">
        <v>159</v>
      </c>
      <c r="O95" s="1">
        <v>6312.29</v>
      </c>
      <c r="Q95" t="s">
        <v>33</v>
      </c>
      <c r="R95" t="s">
        <v>34</v>
      </c>
      <c r="S95" t="s">
        <v>35</v>
      </c>
      <c r="T95" t="s">
        <v>35</v>
      </c>
      <c r="U95" t="s">
        <v>34</v>
      </c>
      <c r="V95" t="str">
        <f>""</f>
        <v/>
      </c>
      <c r="W95">
        <v>20141016</v>
      </c>
      <c r="X95" t="s">
        <v>160</v>
      </c>
      <c r="Y95" t="s">
        <v>161</v>
      </c>
      <c r="Z95" t="s">
        <v>161</v>
      </c>
      <c r="AA95">
        <v>0</v>
      </c>
      <c r="AB95" t="s">
        <v>152</v>
      </c>
      <c r="AC95" t="s">
        <v>143</v>
      </c>
      <c r="AD95" t="s">
        <v>144</v>
      </c>
      <c r="AE95" t="str">
        <f t="shared" si="27"/>
        <v>10</v>
      </c>
      <c r="AF95" t="s">
        <v>40</v>
      </c>
    </row>
    <row r="96" spans="1:32" x14ac:dyDescent="0.25">
      <c r="A96">
        <v>5</v>
      </c>
      <c r="B96">
        <v>429</v>
      </c>
      <c r="C96" t="str">
        <f>"71"</f>
        <v>71</v>
      </c>
      <c r="D96">
        <v>6521</v>
      </c>
      <c r="E96" t="str">
        <f t="shared" si="23"/>
        <v>00</v>
      </c>
      <c r="F96" t="str">
        <f>"999"</f>
        <v>999</v>
      </c>
      <c r="G96">
        <v>5</v>
      </c>
      <c r="H96" t="str">
        <f>"99"</f>
        <v>99</v>
      </c>
      <c r="I96" t="str">
        <f t="shared" si="19"/>
        <v>0</v>
      </c>
      <c r="J96" t="str">
        <f>"04"</f>
        <v>04</v>
      </c>
      <c r="K96">
        <v>20141002</v>
      </c>
      <c r="L96" t="str">
        <f>"002635"</f>
        <v>002635</v>
      </c>
      <c r="M96" t="str">
        <f>"00673"</f>
        <v>00673</v>
      </c>
      <c r="N96" t="s">
        <v>159</v>
      </c>
      <c r="O96" s="1">
        <v>9916.67</v>
      </c>
      <c r="Q96" t="s">
        <v>33</v>
      </c>
      <c r="R96" t="s">
        <v>34</v>
      </c>
      <c r="S96" t="s">
        <v>35</v>
      </c>
      <c r="T96" t="s">
        <v>35</v>
      </c>
      <c r="U96" t="s">
        <v>34</v>
      </c>
      <c r="V96" t="str">
        <f>""</f>
        <v/>
      </c>
      <c r="W96">
        <v>20141016</v>
      </c>
      <c r="X96" t="s">
        <v>162</v>
      </c>
      <c r="Y96" t="s">
        <v>163</v>
      </c>
      <c r="Z96" t="s">
        <v>163</v>
      </c>
      <c r="AA96">
        <v>0</v>
      </c>
      <c r="AB96" t="s">
        <v>152</v>
      </c>
      <c r="AC96" t="s">
        <v>143</v>
      </c>
      <c r="AD96" t="s">
        <v>144</v>
      </c>
      <c r="AE96" t="str">
        <f t="shared" si="27"/>
        <v>10</v>
      </c>
      <c r="AF96" t="s">
        <v>40</v>
      </c>
    </row>
    <row r="97" spans="1:32" x14ac:dyDescent="0.25">
      <c r="A97">
        <v>5</v>
      </c>
      <c r="B97">
        <v>211</v>
      </c>
      <c r="C97" t="str">
        <f t="shared" ref="C97:C102" si="28">"11"</f>
        <v>11</v>
      </c>
      <c r="D97">
        <v>6219</v>
      </c>
      <c r="E97" t="str">
        <f t="shared" si="23"/>
        <v>00</v>
      </c>
      <c r="F97" t="str">
        <f>"001"</f>
        <v>001</v>
      </c>
      <c r="G97">
        <v>5</v>
      </c>
      <c r="H97" t="str">
        <f>"30"</f>
        <v>30</v>
      </c>
      <c r="I97" t="str">
        <f t="shared" si="19"/>
        <v>0</v>
      </c>
      <c r="J97" t="str">
        <f t="shared" ref="J97:J116" si="29">"00"</f>
        <v>00</v>
      </c>
      <c r="K97">
        <v>20141002</v>
      </c>
      <c r="L97" t="str">
        <f>"002636"</f>
        <v>002636</v>
      </c>
      <c r="M97" t="str">
        <f>"00595"</f>
        <v>00595</v>
      </c>
      <c r="N97" t="s">
        <v>172</v>
      </c>
      <c r="O97">
        <v>350</v>
      </c>
      <c r="Q97" t="s">
        <v>33</v>
      </c>
      <c r="R97" t="s">
        <v>34</v>
      </c>
      <c r="S97" t="s">
        <v>35</v>
      </c>
      <c r="T97" t="s">
        <v>35</v>
      </c>
      <c r="U97" t="s">
        <v>34</v>
      </c>
      <c r="V97" t="str">
        <f>""</f>
        <v/>
      </c>
      <c r="W97">
        <v>20141016</v>
      </c>
      <c r="X97" t="s">
        <v>173</v>
      </c>
      <c r="Y97" t="s">
        <v>141</v>
      </c>
      <c r="Z97" t="s">
        <v>141</v>
      </c>
      <c r="AA97">
        <v>0</v>
      </c>
      <c r="AB97" t="s">
        <v>174</v>
      </c>
      <c r="AC97" t="s">
        <v>41</v>
      </c>
      <c r="AD97" t="s">
        <v>144</v>
      </c>
      <c r="AE97" t="str">
        <f t="shared" si="27"/>
        <v>10</v>
      </c>
      <c r="AF97" t="s">
        <v>40</v>
      </c>
    </row>
    <row r="98" spans="1:32" x14ac:dyDescent="0.25">
      <c r="A98">
        <v>5</v>
      </c>
      <c r="B98">
        <v>211</v>
      </c>
      <c r="C98" t="str">
        <f t="shared" si="28"/>
        <v>11</v>
      </c>
      <c r="D98">
        <v>6219</v>
      </c>
      <c r="E98" t="str">
        <f t="shared" si="23"/>
        <v>00</v>
      </c>
      <c r="F98" t="str">
        <f>"041"</f>
        <v>041</v>
      </c>
      <c r="G98">
        <v>5</v>
      </c>
      <c r="H98" t="str">
        <f>"30"</f>
        <v>30</v>
      </c>
      <c r="I98" t="str">
        <f t="shared" si="19"/>
        <v>0</v>
      </c>
      <c r="J98" t="str">
        <f t="shared" si="29"/>
        <v>00</v>
      </c>
      <c r="K98">
        <v>20141002</v>
      </c>
      <c r="L98" t="str">
        <f>"002636"</f>
        <v>002636</v>
      </c>
      <c r="M98" t="str">
        <f>"00595"</f>
        <v>00595</v>
      </c>
      <c r="N98" t="s">
        <v>172</v>
      </c>
      <c r="O98">
        <v>350</v>
      </c>
      <c r="Q98" t="s">
        <v>33</v>
      </c>
      <c r="R98" t="s">
        <v>34</v>
      </c>
      <c r="S98" t="s">
        <v>35</v>
      </c>
      <c r="T98" t="s">
        <v>35</v>
      </c>
      <c r="U98" t="s">
        <v>34</v>
      </c>
      <c r="V98" t="str">
        <f>""</f>
        <v/>
      </c>
      <c r="W98">
        <v>20141016</v>
      </c>
      <c r="X98" t="s">
        <v>175</v>
      </c>
      <c r="Y98" t="s">
        <v>141</v>
      </c>
      <c r="Z98" t="s">
        <v>141</v>
      </c>
      <c r="AA98">
        <v>0</v>
      </c>
      <c r="AB98" t="s">
        <v>174</v>
      </c>
      <c r="AC98" t="s">
        <v>41</v>
      </c>
      <c r="AD98" t="s">
        <v>144</v>
      </c>
      <c r="AE98" t="str">
        <f t="shared" si="27"/>
        <v>10</v>
      </c>
      <c r="AF98" t="s">
        <v>40</v>
      </c>
    </row>
    <row r="99" spans="1:32" x14ac:dyDescent="0.25">
      <c r="A99">
        <v>5</v>
      </c>
      <c r="B99">
        <v>420</v>
      </c>
      <c r="C99" t="str">
        <f t="shared" si="28"/>
        <v>11</v>
      </c>
      <c r="D99">
        <v>6219</v>
      </c>
      <c r="E99" t="str">
        <f t="shared" si="23"/>
        <v>00</v>
      </c>
      <c r="F99" t="str">
        <f>"001"</f>
        <v>001</v>
      </c>
      <c r="G99">
        <v>5</v>
      </c>
      <c r="H99" t="str">
        <f>"11"</f>
        <v>11</v>
      </c>
      <c r="I99" t="str">
        <f t="shared" si="19"/>
        <v>0</v>
      </c>
      <c r="J99" t="str">
        <f t="shared" si="29"/>
        <v>00</v>
      </c>
      <c r="K99">
        <v>20141016</v>
      </c>
      <c r="L99" t="str">
        <f>"002637"</f>
        <v>002637</v>
      </c>
      <c r="M99" t="str">
        <f>"00704"</f>
        <v>00704</v>
      </c>
      <c r="N99" t="s">
        <v>164</v>
      </c>
      <c r="O99">
        <v>988.57</v>
      </c>
      <c r="Q99" t="s">
        <v>33</v>
      </c>
      <c r="R99" t="s">
        <v>34</v>
      </c>
      <c r="S99" t="s">
        <v>35</v>
      </c>
      <c r="T99" t="s">
        <v>35</v>
      </c>
      <c r="U99" t="s">
        <v>34</v>
      </c>
      <c r="V99" t="str">
        <f>""</f>
        <v/>
      </c>
      <c r="W99">
        <v>20141016</v>
      </c>
      <c r="X99" t="s">
        <v>165</v>
      </c>
      <c r="Y99" t="s">
        <v>141</v>
      </c>
      <c r="Z99" t="s">
        <v>141</v>
      </c>
      <c r="AA99">
        <v>0</v>
      </c>
      <c r="AB99" t="s">
        <v>142</v>
      </c>
      <c r="AC99" t="s">
        <v>41</v>
      </c>
      <c r="AD99" t="s">
        <v>144</v>
      </c>
      <c r="AE99" t="str">
        <f t="shared" si="27"/>
        <v>10</v>
      </c>
      <c r="AF99" t="s">
        <v>40</v>
      </c>
    </row>
    <row r="100" spans="1:32" x14ac:dyDescent="0.25">
      <c r="A100">
        <v>5</v>
      </c>
      <c r="B100">
        <v>420</v>
      </c>
      <c r="C100" t="str">
        <f t="shared" si="28"/>
        <v>11</v>
      </c>
      <c r="D100">
        <v>6219</v>
      </c>
      <c r="E100" t="str">
        <f t="shared" si="23"/>
        <v>00</v>
      </c>
      <c r="F100" t="str">
        <f>"999"</f>
        <v>999</v>
      </c>
      <c r="G100">
        <v>5</v>
      </c>
      <c r="H100" t="str">
        <f>"11"</f>
        <v>11</v>
      </c>
      <c r="I100" t="str">
        <f t="shared" si="19"/>
        <v>0</v>
      </c>
      <c r="J100" t="str">
        <f t="shared" si="29"/>
        <v>00</v>
      </c>
      <c r="K100">
        <v>20141016</v>
      </c>
      <c r="L100" t="str">
        <f>"002637"</f>
        <v>002637</v>
      </c>
      <c r="M100" t="str">
        <f>"00704"</f>
        <v>00704</v>
      </c>
      <c r="N100" t="s">
        <v>164</v>
      </c>
      <c r="O100" s="1">
        <v>1044.82</v>
      </c>
      <c r="Q100" t="s">
        <v>33</v>
      </c>
      <c r="R100" t="s">
        <v>34</v>
      </c>
      <c r="S100" t="s">
        <v>35</v>
      </c>
      <c r="T100" t="s">
        <v>35</v>
      </c>
      <c r="U100" t="s">
        <v>34</v>
      </c>
      <c r="V100" t="str">
        <f>""</f>
        <v/>
      </c>
      <c r="W100">
        <v>20141016</v>
      </c>
      <c r="X100" t="s">
        <v>166</v>
      </c>
      <c r="Y100" t="s">
        <v>141</v>
      </c>
      <c r="Z100" t="s">
        <v>141</v>
      </c>
      <c r="AA100">
        <v>0</v>
      </c>
      <c r="AB100" t="s">
        <v>142</v>
      </c>
      <c r="AC100" t="s">
        <v>143</v>
      </c>
      <c r="AD100" t="s">
        <v>144</v>
      </c>
      <c r="AE100" t="str">
        <f t="shared" si="27"/>
        <v>10</v>
      </c>
      <c r="AF100" t="s">
        <v>40</v>
      </c>
    </row>
    <row r="101" spans="1:32" x14ac:dyDescent="0.25">
      <c r="A101">
        <v>5</v>
      </c>
      <c r="B101">
        <v>420</v>
      </c>
      <c r="C101" t="str">
        <f t="shared" si="28"/>
        <v>11</v>
      </c>
      <c r="D101">
        <v>6219</v>
      </c>
      <c r="E101" t="str">
        <f t="shared" si="23"/>
        <v>00</v>
      </c>
      <c r="F101" t="str">
        <f>"101"</f>
        <v>101</v>
      </c>
      <c r="G101">
        <v>5</v>
      </c>
      <c r="H101" t="str">
        <f>"11"</f>
        <v>11</v>
      </c>
      <c r="I101" t="str">
        <f t="shared" si="19"/>
        <v>0</v>
      </c>
      <c r="J101" t="str">
        <f t="shared" si="29"/>
        <v>00</v>
      </c>
      <c r="K101">
        <v>20141007</v>
      </c>
      <c r="L101" t="str">
        <f>"002638"</f>
        <v>002638</v>
      </c>
      <c r="M101" t="str">
        <f>"00686"</f>
        <v>00686</v>
      </c>
      <c r="N101" t="s">
        <v>146</v>
      </c>
      <c r="O101" s="1">
        <v>1318.22</v>
      </c>
      <c r="Q101" t="s">
        <v>33</v>
      </c>
      <c r="R101" t="s">
        <v>34</v>
      </c>
      <c r="S101" t="s">
        <v>35</v>
      </c>
      <c r="T101" t="s">
        <v>35</v>
      </c>
      <c r="U101" t="s">
        <v>34</v>
      </c>
      <c r="V101" t="str">
        <f>""</f>
        <v/>
      </c>
      <c r="W101">
        <v>20141016</v>
      </c>
      <c r="X101" t="s">
        <v>147</v>
      </c>
      <c r="Y101" t="s">
        <v>148</v>
      </c>
      <c r="Z101" t="s">
        <v>148</v>
      </c>
      <c r="AA101">
        <v>0</v>
      </c>
      <c r="AB101" t="s">
        <v>142</v>
      </c>
      <c r="AC101" t="s">
        <v>41</v>
      </c>
      <c r="AD101" t="s">
        <v>144</v>
      </c>
      <c r="AE101" t="str">
        <f t="shared" si="27"/>
        <v>10</v>
      </c>
      <c r="AF101" t="s">
        <v>40</v>
      </c>
    </row>
    <row r="102" spans="1:32" x14ac:dyDescent="0.25">
      <c r="A102">
        <v>5</v>
      </c>
      <c r="B102">
        <v>255</v>
      </c>
      <c r="C102" t="str">
        <f t="shared" si="28"/>
        <v>11</v>
      </c>
      <c r="D102">
        <v>6219</v>
      </c>
      <c r="E102" t="str">
        <f t="shared" si="23"/>
        <v>00</v>
      </c>
      <c r="F102" t="str">
        <f>"999"</f>
        <v>999</v>
      </c>
      <c r="G102">
        <v>5</v>
      </c>
      <c r="H102" t="str">
        <f>"30"</f>
        <v>30</v>
      </c>
      <c r="I102" t="str">
        <f t="shared" si="19"/>
        <v>0</v>
      </c>
      <c r="J102" t="str">
        <f t="shared" si="29"/>
        <v>00</v>
      </c>
      <c r="K102">
        <v>20141024</v>
      </c>
      <c r="L102" t="str">
        <f>"002639"</f>
        <v>002639</v>
      </c>
      <c r="M102" t="str">
        <f>"00523"</f>
        <v>00523</v>
      </c>
      <c r="N102" t="s">
        <v>176</v>
      </c>
      <c r="O102">
        <v>650</v>
      </c>
      <c r="Q102" t="s">
        <v>33</v>
      </c>
      <c r="R102" t="s">
        <v>34</v>
      </c>
      <c r="S102" t="s">
        <v>35</v>
      </c>
      <c r="T102" t="s">
        <v>35</v>
      </c>
      <c r="U102" t="s">
        <v>34</v>
      </c>
      <c r="V102" t="str">
        <f>""</f>
        <v/>
      </c>
      <c r="W102">
        <v>20141103</v>
      </c>
      <c r="X102" t="s">
        <v>177</v>
      </c>
      <c r="Y102" t="s">
        <v>141</v>
      </c>
      <c r="Z102" t="s">
        <v>141</v>
      </c>
      <c r="AA102">
        <v>0</v>
      </c>
      <c r="AB102" t="s">
        <v>178</v>
      </c>
      <c r="AC102" t="s">
        <v>143</v>
      </c>
      <c r="AD102" t="s">
        <v>144</v>
      </c>
      <c r="AE102" t="str">
        <f t="shared" si="27"/>
        <v>10</v>
      </c>
      <c r="AF102" t="s">
        <v>40</v>
      </c>
    </row>
    <row r="103" spans="1:32" x14ac:dyDescent="0.25">
      <c r="A103">
        <v>5</v>
      </c>
      <c r="B103">
        <v>420</v>
      </c>
      <c r="C103" t="str">
        <f>"34"</f>
        <v>34</v>
      </c>
      <c r="D103">
        <v>6219</v>
      </c>
      <c r="E103" t="str">
        <f t="shared" si="23"/>
        <v>00</v>
      </c>
      <c r="F103" t="str">
        <f>"999"</f>
        <v>999</v>
      </c>
      <c r="G103">
        <v>5</v>
      </c>
      <c r="H103" t="str">
        <f>"99"</f>
        <v>99</v>
      </c>
      <c r="I103" t="str">
        <f t="shared" si="19"/>
        <v>0</v>
      </c>
      <c r="J103" t="str">
        <f t="shared" si="29"/>
        <v>00</v>
      </c>
      <c r="K103">
        <v>20141023</v>
      </c>
      <c r="L103" t="str">
        <f>"002640"</f>
        <v>002640</v>
      </c>
      <c r="M103" t="str">
        <f>"00516"</f>
        <v>00516</v>
      </c>
      <c r="N103" t="s">
        <v>139</v>
      </c>
      <c r="O103" s="1">
        <v>2220</v>
      </c>
      <c r="Q103" t="s">
        <v>33</v>
      </c>
      <c r="R103" t="s">
        <v>34</v>
      </c>
      <c r="S103" t="s">
        <v>35</v>
      </c>
      <c r="T103" t="s">
        <v>35</v>
      </c>
      <c r="U103" t="s">
        <v>34</v>
      </c>
      <c r="V103" t="str">
        <f>""</f>
        <v/>
      </c>
      <c r="W103">
        <v>20141112</v>
      </c>
      <c r="X103" t="s">
        <v>140</v>
      </c>
      <c r="Y103" t="s">
        <v>179</v>
      </c>
      <c r="Z103" t="s">
        <v>179</v>
      </c>
      <c r="AA103">
        <v>0</v>
      </c>
      <c r="AB103" t="s">
        <v>142</v>
      </c>
      <c r="AC103" t="s">
        <v>143</v>
      </c>
      <c r="AD103" t="s">
        <v>144</v>
      </c>
      <c r="AE103" t="str">
        <f t="shared" si="27"/>
        <v>10</v>
      </c>
      <c r="AF103" t="s">
        <v>40</v>
      </c>
    </row>
    <row r="104" spans="1:32" x14ac:dyDescent="0.25">
      <c r="A104">
        <v>5</v>
      </c>
      <c r="B104">
        <v>211</v>
      </c>
      <c r="C104" t="str">
        <f t="shared" ref="C104:C109" si="30">"11"</f>
        <v>11</v>
      </c>
      <c r="D104">
        <v>6219</v>
      </c>
      <c r="E104" t="str">
        <f t="shared" si="23"/>
        <v>00</v>
      </c>
      <c r="F104" t="str">
        <f>"001"</f>
        <v>001</v>
      </c>
      <c r="G104">
        <v>5</v>
      </c>
      <c r="H104" t="str">
        <f t="shared" ref="H104:H109" si="31">"30"</f>
        <v>30</v>
      </c>
      <c r="I104" t="str">
        <f t="shared" si="19"/>
        <v>0</v>
      </c>
      <c r="J104" t="str">
        <f t="shared" si="29"/>
        <v>00</v>
      </c>
      <c r="K104">
        <v>20141023</v>
      </c>
      <c r="L104" t="str">
        <f>"002641"</f>
        <v>002641</v>
      </c>
      <c r="M104" t="str">
        <f>"00173"</f>
        <v>00173</v>
      </c>
      <c r="N104" t="s">
        <v>180</v>
      </c>
      <c r="O104">
        <v>140</v>
      </c>
      <c r="Q104" t="s">
        <v>33</v>
      </c>
      <c r="R104" t="s">
        <v>34</v>
      </c>
      <c r="S104" t="s">
        <v>35</v>
      </c>
      <c r="T104" t="s">
        <v>35</v>
      </c>
      <c r="U104" t="s">
        <v>34</v>
      </c>
      <c r="V104" t="str">
        <f>""</f>
        <v/>
      </c>
      <c r="W104">
        <v>20141103</v>
      </c>
      <c r="X104" t="s">
        <v>173</v>
      </c>
      <c r="Y104" t="s">
        <v>141</v>
      </c>
      <c r="Z104" t="s">
        <v>141</v>
      </c>
      <c r="AA104">
        <v>0</v>
      </c>
      <c r="AB104" t="s">
        <v>174</v>
      </c>
      <c r="AC104" t="s">
        <v>41</v>
      </c>
      <c r="AD104" t="s">
        <v>144</v>
      </c>
      <c r="AE104" t="str">
        <f t="shared" si="27"/>
        <v>10</v>
      </c>
      <c r="AF104" t="s">
        <v>40</v>
      </c>
    </row>
    <row r="105" spans="1:32" x14ac:dyDescent="0.25">
      <c r="A105">
        <v>5</v>
      </c>
      <c r="B105">
        <v>211</v>
      </c>
      <c r="C105" t="str">
        <f t="shared" si="30"/>
        <v>11</v>
      </c>
      <c r="D105">
        <v>6219</v>
      </c>
      <c r="E105" t="str">
        <f t="shared" si="23"/>
        <v>00</v>
      </c>
      <c r="F105" t="str">
        <f>"041"</f>
        <v>041</v>
      </c>
      <c r="G105">
        <v>5</v>
      </c>
      <c r="H105" t="str">
        <f t="shared" si="31"/>
        <v>30</v>
      </c>
      <c r="I105" t="str">
        <f t="shared" si="19"/>
        <v>0</v>
      </c>
      <c r="J105" t="str">
        <f t="shared" si="29"/>
        <v>00</v>
      </c>
      <c r="K105">
        <v>20141023</v>
      </c>
      <c r="L105" t="str">
        <f>"002641"</f>
        <v>002641</v>
      </c>
      <c r="M105" t="str">
        <f>"00173"</f>
        <v>00173</v>
      </c>
      <c r="N105" t="s">
        <v>180</v>
      </c>
      <c r="O105">
        <v>140</v>
      </c>
      <c r="Q105" t="s">
        <v>33</v>
      </c>
      <c r="R105" t="s">
        <v>34</v>
      </c>
      <c r="S105" t="s">
        <v>35</v>
      </c>
      <c r="T105" t="s">
        <v>35</v>
      </c>
      <c r="U105" t="s">
        <v>34</v>
      </c>
      <c r="V105" t="str">
        <f>""</f>
        <v/>
      </c>
      <c r="W105">
        <v>20141103</v>
      </c>
      <c r="X105" t="s">
        <v>175</v>
      </c>
      <c r="Y105" t="s">
        <v>141</v>
      </c>
      <c r="Z105" t="s">
        <v>141</v>
      </c>
      <c r="AA105">
        <v>0</v>
      </c>
      <c r="AB105" t="s">
        <v>174</v>
      </c>
      <c r="AC105" t="s">
        <v>41</v>
      </c>
      <c r="AD105" t="s">
        <v>144</v>
      </c>
      <c r="AE105" t="str">
        <f t="shared" si="27"/>
        <v>10</v>
      </c>
      <c r="AF105" t="s">
        <v>40</v>
      </c>
    </row>
    <row r="106" spans="1:32" x14ac:dyDescent="0.25">
      <c r="A106">
        <v>5</v>
      </c>
      <c r="B106">
        <v>211</v>
      </c>
      <c r="C106" t="str">
        <f t="shared" si="30"/>
        <v>11</v>
      </c>
      <c r="D106">
        <v>6219</v>
      </c>
      <c r="E106" t="str">
        <f t="shared" si="23"/>
        <v>00</v>
      </c>
      <c r="F106" t="str">
        <f>"101"</f>
        <v>101</v>
      </c>
      <c r="G106">
        <v>5</v>
      </c>
      <c r="H106" t="str">
        <f t="shared" si="31"/>
        <v>30</v>
      </c>
      <c r="I106" t="str">
        <f t="shared" si="19"/>
        <v>0</v>
      </c>
      <c r="J106" t="str">
        <f t="shared" si="29"/>
        <v>00</v>
      </c>
      <c r="K106">
        <v>20141023</v>
      </c>
      <c r="L106" t="str">
        <f>"002641"</f>
        <v>002641</v>
      </c>
      <c r="M106" t="str">
        <f>"00173"</f>
        <v>00173</v>
      </c>
      <c r="N106" t="s">
        <v>180</v>
      </c>
      <c r="O106">
        <v>595</v>
      </c>
      <c r="Q106" t="s">
        <v>33</v>
      </c>
      <c r="R106" t="s">
        <v>34</v>
      </c>
      <c r="S106" t="s">
        <v>35</v>
      </c>
      <c r="T106" t="s">
        <v>35</v>
      </c>
      <c r="U106" t="s">
        <v>34</v>
      </c>
      <c r="V106" t="str">
        <f>""</f>
        <v/>
      </c>
      <c r="W106">
        <v>20141103</v>
      </c>
      <c r="X106" t="s">
        <v>181</v>
      </c>
      <c r="Y106" t="s">
        <v>141</v>
      </c>
      <c r="Z106" t="s">
        <v>141</v>
      </c>
      <c r="AA106">
        <v>0</v>
      </c>
      <c r="AB106" t="s">
        <v>174</v>
      </c>
      <c r="AC106" t="s">
        <v>41</v>
      </c>
      <c r="AD106" t="s">
        <v>144</v>
      </c>
      <c r="AE106" t="str">
        <f t="shared" si="27"/>
        <v>10</v>
      </c>
      <c r="AF106" t="s">
        <v>40</v>
      </c>
    </row>
    <row r="107" spans="1:32" x14ac:dyDescent="0.25">
      <c r="A107">
        <v>5</v>
      </c>
      <c r="B107">
        <v>211</v>
      </c>
      <c r="C107" t="str">
        <f t="shared" si="30"/>
        <v>11</v>
      </c>
      <c r="D107">
        <v>6219</v>
      </c>
      <c r="E107" t="str">
        <f t="shared" si="23"/>
        <v>00</v>
      </c>
      <c r="F107" t="str">
        <f>"001"</f>
        <v>001</v>
      </c>
      <c r="G107">
        <v>5</v>
      </c>
      <c r="H107" t="str">
        <f t="shared" si="31"/>
        <v>30</v>
      </c>
      <c r="I107" t="str">
        <f t="shared" si="19"/>
        <v>0</v>
      </c>
      <c r="J107" t="str">
        <f t="shared" si="29"/>
        <v>00</v>
      </c>
      <c r="K107">
        <v>20141023</v>
      </c>
      <c r="L107" t="str">
        <f>"002642"</f>
        <v>002642</v>
      </c>
      <c r="M107" t="str">
        <f>"00595"</f>
        <v>00595</v>
      </c>
      <c r="N107" t="s">
        <v>172</v>
      </c>
      <c r="O107">
        <v>673</v>
      </c>
      <c r="Q107" t="s">
        <v>33</v>
      </c>
      <c r="R107" t="s">
        <v>34</v>
      </c>
      <c r="S107" t="s">
        <v>35</v>
      </c>
      <c r="T107" t="s">
        <v>35</v>
      </c>
      <c r="U107" t="s">
        <v>34</v>
      </c>
      <c r="V107" t="str">
        <f>""</f>
        <v/>
      </c>
      <c r="W107">
        <v>20141103</v>
      </c>
      <c r="X107" t="s">
        <v>173</v>
      </c>
      <c r="Y107" t="s">
        <v>141</v>
      </c>
      <c r="Z107" t="s">
        <v>141</v>
      </c>
      <c r="AA107">
        <v>0</v>
      </c>
      <c r="AB107" t="s">
        <v>174</v>
      </c>
      <c r="AC107" t="s">
        <v>41</v>
      </c>
      <c r="AD107" t="s">
        <v>144</v>
      </c>
      <c r="AE107" t="str">
        <f t="shared" si="27"/>
        <v>10</v>
      </c>
      <c r="AF107" t="s">
        <v>40</v>
      </c>
    </row>
    <row r="108" spans="1:32" x14ac:dyDescent="0.25">
      <c r="A108">
        <v>5</v>
      </c>
      <c r="B108">
        <v>211</v>
      </c>
      <c r="C108" t="str">
        <f t="shared" si="30"/>
        <v>11</v>
      </c>
      <c r="D108">
        <v>6219</v>
      </c>
      <c r="E108" t="str">
        <f t="shared" si="23"/>
        <v>00</v>
      </c>
      <c r="F108" t="str">
        <f>"041"</f>
        <v>041</v>
      </c>
      <c r="G108">
        <v>5</v>
      </c>
      <c r="H108" t="str">
        <f t="shared" si="31"/>
        <v>30</v>
      </c>
      <c r="I108" t="str">
        <f t="shared" si="19"/>
        <v>0</v>
      </c>
      <c r="J108" t="str">
        <f t="shared" si="29"/>
        <v>00</v>
      </c>
      <c r="K108">
        <v>20141023</v>
      </c>
      <c r="L108" t="str">
        <f>"002642"</f>
        <v>002642</v>
      </c>
      <c r="M108" t="str">
        <f>"00595"</f>
        <v>00595</v>
      </c>
      <c r="N108" t="s">
        <v>172</v>
      </c>
      <c r="O108" s="1">
        <v>1288.5</v>
      </c>
      <c r="Q108" t="s">
        <v>33</v>
      </c>
      <c r="R108" t="s">
        <v>34</v>
      </c>
      <c r="S108" t="s">
        <v>35</v>
      </c>
      <c r="T108" t="s">
        <v>35</v>
      </c>
      <c r="U108" t="s">
        <v>34</v>
      </c>
      <c r="V108" t="str">
        <f>""</f>
        <v/>
      </c>
      <c r="W108">
        <v>20141103</v>
      </c>
      <c r="X108" t="s">
        <v>175</v>
      </c>
      <c r="Y108" t="s">
        <v>141</v>
      </c>
      <c r="Z108" t="s">
        <v>141</v>
      </c>
      <c r="AA108">
        <v>0</v>
      </c>
      <c r="AB108" t="s">
        <v>174</v>
      </c>
      <c r="AC108" t="s">
        <v>41</v>
      </c>
      <c r="AD108" t="s">
        <v>144</v>
      </c>
      <c r="AE108" t="str">
        <f t="shared" si="27"/>
        <v>10</v>
      </c>
      <c r="AF108" t="s">
        <v>40</v>
      </c>
    </row>
    <row r="109" spans="1:32" x14ac:dyDescent="0.25">
      <c r="A109">
        <v>5</v>
      </c>
      <c r="B109">
        <v>211</v>
      </c>
      <c r="C109" t="str">
        <f t="shared" si="30"/>
        <v>11</v>
      </c>
      <c r="D109">
        <v>6219</v>
      </c>
      <c r="E109" t="str">
        <f t="shared" ref="E109:E140" si="32">"00"</f>
        <v>00</v>
      </c>
      <c r="F109" t="str">
        <f>"101"</f>
        <v>101</v>
      </c>
      <c r="G109">
        <v>5</v>
      </c>
      <c r="H109" t="str">
        <f t="shared" si="31"/>
        <v>30</v>
      </c>
      <c r="I109" t="str">
        <f t="shared" si="19"/>
        <v>0</v>
      </c>
      <c r="J109" t="str">
        <f t="shared" si="29"/>
        <v>00</v>
      </c>
      <c r="K109">
        <v>20141023</v>
      </c>
      <c r="L109" t="str">
        <f>"002642"</f>
        <v>002642</v>
      </c>
      <c r="M109" t="str">
        <f>"00595"</f>
        <v>00595</v>
      </c>
      <c r="N109" t="s">
        <v>172</v>
      </c>
      <c r="O109">
        <v>413.5</v>
      </c>
      <c r="Q109" t="s">
        <v>33</v>
      </c>
      <c r="R109" t="s">
        <v>34</v>
      </c>
      <c r="S109" t="s">
        <v>35</v>
      </c>
      <c r="T109" t="s">
        <v>35</v>
      </c>
      <c r="U109" t="s">
        <v>34</v>
      </c>
      <c r="V109" t="str">
        <f>""</f>
        <v/>
      </c>
      <c r="W109">
        <v>20141103</v>
      </c>
      <c r="X109" t="s">
        <v>181</v>
      </c>
      <c r="Y109" t="s">
        <v>141</v>
      </c>
      <c r="Z109" t="s">
        <v>141</v>
      </c>
      <c r="AA109">
        <v>0</v>
      </c>
      <c r="AB109" t="s">
        <v>174</v>
      </c>
      <c r="AC109" t="s">
        <v>41</v>
      </c>
      <c r="AD109" t="s">
        <v>144</v>
      </c>
      <c r="AE109" t="str">
        <f t="shared" si="27"/>
        <v>10</v>
      </c>
      <c r="AF109" t="s">
        <v>40</v>
      </c>
    </row>
    <row r="110" spans="1:32" x14ac:dyDescent="0.25">
      <c r="A110">
        <v>5</v>
      </c>
      <c r="B110">
        <v>420</v>
      </c>
      <c r="C110" t="str">
        <f>"51"</f>
        <v>51</v>
      </c>
      <c r="D110">
        <v>6219</v>
      </c>
      <c r="E110" t="str">
        <f t="shared" si="32"/>
        <v>00</v>
      </c>
      <c r="F110" t="str">
        <f t="shared" ref="F110:F119" si="33">"999"</f>
        <v>999</v>
      </c>
      <c r="G110">
        <v>5</v>
      </c>
      <c r="H110" t="str">
        <f>"99"</f>
        <v>99</v>
      </c>
      <c r="I110" t="str">
        <f t="shared" si="19"/>
        <v>0</v>
      </c>
      <c r="J110" t="str">
        <f t="shared" si="29"/>
        <v>00</v>
      </c>
      <c r="K110">
        <v>20141024</v>
      </c>
      <c r="L110" t="str">
        <f>"002643"</f>
        <v>002643</v>
      </c>
      <c r="M110" t="str">
        <f>"00669"</f>
        <v>00669</v>
      </c>
      <c r="N110" t="s">
        <v>182</v>
      </c>
      <c r="O110" s="1">
        <v>7500</v>
      </c>
      <c r="Q110" t="s">
        <v>33</v>
      </c>
      <c r="R110" t="s">
        <v>34</v>
      </c>
      <c r="S110" t="s">
        <v>35</v>
      </c>
      <c r="T110" t="s">
        <v>35</v>
      </c>
      <c r="U110" t="s">
        <v>34</v>
      </c>
      <c r="V110" t="str">
        <f>""</f>
        <v/>
      </c>
      <c r="W110">
        <v>20141103</v>
      </c>
      <c r="X110" t="s">
        <v>183</v>
      </c>
      <c r="Y110" t="s">
        <v>184</v>
      </c>
      <c r="Z110" t="s">
        <v>184</v>
      </c>
      <c r="AA110">
        <v>0</v>
      </c>
      <c r="AB110" t="s">
        <v>142</v>
      </c>
      <c r="AC110" t="s">
        <v>143</v>
      </c>
      <c r="AD110" t="s">
        <v>144</v>
      </c>
      <c r="AE110" t="str">
        <f t="shared" si="27"/>
        <v>10</v>
      </c>
      <c r="AF110" t="s">
        <v>40</v>
      </c>
    </row>
    <row r="111" spans="1:32" x14ac:dyDescent="0.25">
      <c r="A111">
        <v>5</v>
      </c>
      <c r="B111">
        <v>420</v>
      </c>
      <c r="C111" t="str">
        <f>"51"</f>
        <v>51</v>
      </c>
      <c r="D111">
        <v>6319</v>
      </c>
      <c r="E111" t="str">
        <f t="shared" si="32"/>
        <v>00</v>
      </c>
      <c r="F111" t="str">
        <f t="shared" si="33"/>
        <v>999</v>
      </c>
      <c r="G111">
        <v>5</v>
      </c>
      <c r="H111" t="str">
        <f>"99"</f>
        <v>99</v>
      </c>
      <c r="I111" t="str">
        <f t="shared" si="19"/>
        <v>0</v>
      </c>
      <c r="J111" t="str">
        <f t="shared" si="29"/>
        <v>00</v>
      </c>
      <c r="K111">
        <v>20141024</v>
      </c>
      <c r="L111" t="str">
        <f>"002643"</f>
        <v>002643</v>
      </c>
      <c r="M111" t="str">
        <f>"00669"</f>
        <v>00669</v>
      </c>
      <c r="N111" t="s">
        <v>182</v>
      </c>
      <c r="O111" s="1">
        <v>7500</v>
      </c>
      <c r="Q111" t="s">
        <v>33</v>
      </c>
      <c r="R111" t="s">
        <v>34</v>
      </c>
      <c r="S111" t="s">
        <v>35</v>
      </c>
      <c r="T111" t="s">
        <v>35</v>
      </c>
      <c r="U111" t="s">
        <v>34</v>
      </c>
      <c r="V111" t="str">
        <f>""</f>
        <v/>
      </c>
      <c r="W111">
        <v>20141103</v>
      </c>
      <c r="X111" t="s">
        <v>185</v>
      </c>
      <c r="Y111" t="s">
        <v>184</v>
      </c>
      <c r="Z111" t="s">
        <v>184</v>
      </c>
      <c r="AA111">
        <v>0</v>
      </c>
      <c r="AB111" t="s">
        <v>142</v>
      </c>
      <c r="AC111" t="s">
        <v>143</v>
      </c>
      <c r="AD111" t="s">
        <v>144</v>
      </c>
      <c r="AE111" t="str">
        <f t="shared" si="27"/>
        <v>10</v>
      </c>
      <c r="AF111" t="s">
        <v>40</v>
      </c>
    </row>
    <row r="112" spans="1:32" x14ac:dyDescent="0.25">
      <c r="A112">
        <v>5</v>
      </c>
      <c r="B112">
        <v>420</v>
      </c>
      <c r="C112" t="str">
        <f>"34"</f>
        <v>34</v>
      </c>
      <c r="D112">
        <v>6219</v>
      </c>
      <c r="E112" t="str">
        <f t="shared" si="32"/>
        <v>00</v>
      </c>
      <c r="F112" t="str">
        <f t="shared" si="33"/>
        <v>999</v>
      </c>
      <c r="G112">
        <v>5</v>
      </c>
      <c r="H112" t="str">
        <f>"99"</f>
        <v>99</v>
      </c>
      <c r="I112" t="str">
        <f t="shared" si="19"/>
        <v>0</v>
      </c>
      <c r="J112" t="str">
        <f t="shared" si="29"/>
        <v>00</v>
      </c>
      <c r="K112">
        <v>20141028</v>
      </c>
      <c r="L112" t="str">
        <f>"002644"</f>
        <v>002644</v>
      </c>
      <c r="M112" t="str">
        <f>"00782"</f>
        <v>00782</v>
      </c>
      <c r="N112" t="s">
        <v>145</v>
      </c>
      <c r="O112" s="1">
        <v>1729</v>
      </c>
      <c r="Q112" t="s">
        <v>33</v>
      </c>
      <c r="R112" t="s">
        <v>34</v>
      </c>
      <c r="S112" t="s">
        <v>35</v>
      </c>
      <c r="T112" t="s">
        <v>35</v>
      </c>
      <c r="U112" t="s">
        <v>34</v>
      </c>
      <c r="V112" t="str">
        <f>""</f>
        <v/>
      </c>
      <c r="W112">
        <v>20141103</v>
      </c>
      <c r="X112" t="s">
        <v>140</v>
      </c>
      <c r="Y112" t="s">
        <v>179</v>
      </c>
      <c r="Z112" t="s">
        <v>179</v>
      </c>
      <c r="AA112">
        <v>0</v>
      </c>
      <c r="AB112" t="s">
        <v>142</v>
      </c>
      <c r="AC112" t="s">
        <v>143</v>
      </c>
      <c r="AD112" t="s">
        <v>144</v>
      </c>
      <c r="AE112" t="str">
        <f t="shared" si="27"/>
        <v>10</v>
      </c>
      <c r="AF112" t="s">
        <v>40</v>
      </c>
    </row>
    <row r="113" spans="1:32" x14ac:dyDescent="0.25">
      <c r="A113">
        <v>5</v>
      </c>
      <c r="B113">
        <v>420</v>
      </c>
      <c r="C113" t="str">
        <f>"36"</f>
        <v>36</v>
      </c>
      <c r="D113">
        <v>6219</v>
      </c>
      <c r="E113" t="str">
        <f t="shared" si="32"/>
        <v>00</v>
      </c>
      <c r="F113" t="str">
        <f t="shared" si="33"/>
        <v>999</v>
      </c>
      <c r="G113">
        <v>5</v>
      </c>
      <c r="H113" t="str">
        <f>"91"</f>
        <v>91</v>
      </c>
      <c r="I113" t="str">
        <f t="shared" si="19"/>
        <v>0</v>
      </c>
      <c r="J113" t="str">
        <f t="shared" si="29"/>
        <v>00</v>
      </c>
      <c r="K113">
        <v>20141028</v>
      </c>
      <c r="L113" t="str">
        <f>"002644"</f>
        <v>002644</v>
      </c>
      <c r="M113" t="str">
        <f>"00782"</f>
        <v>00782</v>
      </c>
      <c r="N113" t="s">
        <v>145</v>
      </c>
      <c r="O113">
        <v>106</v>
      </c>
      <c r="Q113" t="s">
        <v>33</v>
      </c>
      <c r="R113" t="s">
        <v>34</v>
      </c>
      <c r="S113" t="s">
        <v>35</v>
      </c>
      <c r="T113" t="s">
        <v>35</v>
      </c>
      <c r="U113" t="s">
        <v>34</v>
      </c>
      <c r="V113" t="str">
        <f>""</f>
        <v/>
      </c>
      <c r="W113">
        <v>20141103</v>
      </c>
      <c r="X113" t="s">
        <v>186</v>
      </c>
      <c r="Y113" t="s">
        <v>179</v>
      </c>
      <c r="Z113" t="s">
        <v>179</v>
      </c>
      <c r="AA113">
        <v>0</v>
      </c>
      <c r="AB113" t="s">
        <v>142</v>
      </c>
      <c r="AC113" t="s">
        <v>143</v>
      </c>
      <c r="AD113" t="s">
        <v>144</v>
      </c>
      <c r="AE113" t="str">
        <f t="shared" si="27"/>
        <v>10</v>
      </c>
      <c r="AF113" t="s">
        <v>40</v>
      </c>
    </row>
    <row r="114" spans="1:32" x14ac:dyDescent="0.25">
      <c r="A114">
        <v>5</v>
      </c>
      <c r="B114">
        <v>420</v>
      </c>
      <c r="C114" t="str">
        <f>"36"</f>
        <v>36</v>
      </c>
      <c r="D114">
        <v>6219</v>
      </c>
      <c r="E114" t="str">
        <f t="shared" si="32"/>
        <v>00</v>
      </c>
      <c r="F114" t="str">
        <f t="shared" si="33"/>
        <v>999</v>
      </c>
      <c r="G114">
        <v>5</v>
      </c>
      <c r="H114" t="str">
        <f>"91"</f>
        <v>91</v>
      </c>
      <c r="I114" t="str">
        <f t="shared" si="19"/>
        <v>0</v>
      </c>
      <c r="J114" t="str">
        <f t="shared" si="29"/>
        <v>00</v>
      </c>
      <c r="K114">
        <v>20141028</v>
      </c>
      <c r="L114" t="str">
        <f>"002644"</f>
        <v>002644</v>
      </c>
      <c r="M114" t="str">
        <f>"00782"</f>
        <v>00782</v>
      </c>
      <c r="N114" t="s">
        <v>145</v>
      </c>
      <c r="O114">
        <v>100</v>
      </c>
      <c r="Q114" t="s">
        <v>33</v>
      </c>
      <c r="R114" t="s">
        <v>34</v>
      </c>
      <c r="S114" t="s">
        <v>35</v>
      </c>
      <c r="T114" t="s">
        <v>35</v>
      </c>
      <c r="U114" t="s">
        <v>34</v>
      </c>
      <c r="V114" t="str">
        <f>""</f>
        <v/>
      </c>
      <c r="W114">
        <v>20141103</v>
      </c>
      <c r="X114" t="s">
        <v>186</v>
      </c>
      <c r="Y114" t="s">
        <v>179</v>
      </c>
      <c r="Z114" t="s">
        <v>179</v>
      </c>
      <c r="AA114">
        <v>0</v>
      </c>
      <c r="AB114" t="s">
        <v>142</v>
      </c>
      <c r="AC114" t="s">
        <v>143</v>
      </c>
      <c r="AD114" t="s">
        <v>144</v>
      </c>
      <c r="AE114" t="str">
        <f t="shared" si="27"/>
        <v>10</v>
      </c>
      <c r="AF114" t="s">
        <v>40</v>
      </c>
    </row>
    <row r="115" spans="1:32" x14ac:dyDescent="0.25">
      <c r="A115">
        <v>5</v>
      </c>
      <c r="B115">
        <v>420</v>
      </c>
      <c r="C115" t="str">
        <f>"36"</f>
        <v>36</v>
      </c>
      <c r="D115">
        <v>6219</v>
      </c>
      <c r="E115" t="str">
        <f t="shared" si="32"/>
        <v>00</v>
      </c>
      <c r="F115" t="str">
        <f t="shared" si="33"/>
        <v>999</v>
      </c>
      <c r="G115">
        <v>5</v>
      </c>
      <c r="H115" t="str">
        <f>"91"</f>
        <v>91</v>
      </c>
      <c r="I115" t="str">
        <f t="shared" si="19"/>
        <v>0</v>
      </c>
      <c r="J115" t="str">
        <f t="shared" si="29"/>
        <v>00</v>
      </c>
      <c r="K115">
        <v>20141028</v>
      </c>
      <c r="L115" t="str">
        <f>"002644"</f>
        <v>002644</v>
      </c>
      <c r="M115" t="str">
        <f>"00782"</f>
        <v>00782</v>
      </c>
      <c r="N115" t="s">
        <v>145</v>
      </c>
      <c r="O115">
        <v>120</v>
      </c>
      <c r="Q115" t="s">
        <v>33</v>
      </c>
      <c r="R115" t="s">
        <v>34</v>
      </c>
      <c r="S115" t="s">
        <v>35</v>
      </c>
      <c r="T115" t="s">
        <v>35</v>
      </c>
      <c r="U115" t="s">
        <v>34</v>
      </c>
      <c r="V115" t="str">
        <f>""</f>
        <v/>
      </c>
      <c r="W115">
        <v>20141103</v>
      </c>
      <c r="X115" t="s">
        <v>186</v>
      </c>
      <c r="Y115" t="s">
        <v>179</v>
      </c>
      <c r="Z115" t="s">
        <v>179</v>
      </c>
      <c r="AA115">
        <v>0</v>
      </c>
      <c r="AB115" t="s">
        <v>142</v>
      </c>
      <c r="AC115" t="s">
        <v>143</v>
      </c>
      <c r="AD115" t="s">
        <v>144</v>
      </c>
      <c r="AE115" t="str">
        <f t="shared" si="27"/>
        <v>10</v>
      </c>
      <c r="AF115" t="s">
        <v>40</v>
      </c>
    </row>
    <row r="116" spans="1:32" x14ac:dyDescent="0.25">
      <c r="A116">
        <v>5</v>
      </c>
      <c r="B116">
        <v>429</v>
      </c>
      <c r="C116" t="str">
        <f>"71"</f>
        <v>71</v>
      </c>
      <c r="D116">
        <v>6521</v>
      </c>
      <c r="E116" t="str">
        <f t="shared" si="32"/>
        <v>00</v>
      </c>
      <c r="F116" t="str">
        <f t="shared" si="33"/>
        <v>999</v>
      </c>
      <c r="G116">
        <v>5</v>
      </c>
      <c r="H116" t="str">
        <f>"98"</f>
        <v>98</v>
      </c>
      <c r="I116" t="str">
        <f t="shared" si="19"/>
        <v>0</v>
      </c>
      <c r="J116" t="str">
        <f t="shared" si="29"/>
        <v>00</v>
      </c>
      <c r="K116">
        <v>20141104</v>
      </c>
      <c r="L116" t="str">
        <f>"002645"</f>
        <v>002645</v>
      </c>
      <c r="M116" t="str">
        <f>"00049"</f>
        <v>00049</v>
      </c>
      <c r="N116" t="s">
        <v>149</v>
      </c>
      <c r="O116" s="1">
        <v>12784.83</v>
      </c>
      <c r="Q116" t="s">
        <v>33</v>
      </c>
      <c r="R116" t="s">
        <v>34</v>
      </c>
      <c r="S116" t="s">
        <v>35</v>
      </c>
      <c r="T116" t="s">
        <v>35</v>
      </c>
      <c r="U116" t="s">
        <v>34</v>
      </c>
      <c r="V116" t="str">
        <f>""</f>
        <v/>
      </c>
      <c r="W116">
        <v>20141120</v>
      </c>
      <c r="X116" t="s">
        <v>150</v>
      </c>
      <c r="Y116" t="s">
        <v>151</v>
      </c>
      <c r="Z116" t="s">
        <v>151</v>
      </c>
      <c r="AA116">
        <v>0</v>
      </c>
      <c r="AB116" t="s">
        <v>152</v>
      </c>
      <c r="AC116" t="s">
        <v>143</v>
      </c>
      <c r="AD116" t="s">
        <v>144</v>
      </c>
      <c r="AE116" t="str">
        <f t="shared" ref="AE116:AE134" si="34">"11"</f>
        <v>11</v>
      </c>
      <c r="AF116" t="s">
        <v>40</v>
      </c>
    </row>
    <row r="117" spans="1:32" x14ac:dyDescent="0.25">
      <c r="A117">
        <v>5</v>
      </c>
      <c r="B117">
        <v>429</v>
      </c>
      <c r="C117" t="str">
        <f>"71"</f>
        <v>71</v>
      </c>
      <c r="D117">
        <v>6521</v>
      </c>
      <c r="E117" t="str">
        <f t="shared" si="32"/>
        <v>00</v>
      </c>
      <c r="F117" t="str">
        <f t="shared" si="33"/>
        <v>999</v>
      </c>
      <c r="G117">
        <v>5</v>
      </c>
      <c r="H117" t="str">
        <f>"98"</f>
        <v>98</v>
      </c>
      <c r="I117" t="str">
        <f t="shared" si="19"/>
        <v>0</v>
      </c>
      <c r="J117" t="str">
        <f>"01"</f>
        <v>01</v>
      </c>
      <c r="K117">
        <v>20141104</v>
      </c>
      <c r="L117" t="str">
        <f>"002645"</f>
        <v>002645</v>
      </c>
      <c r="M117" t="str">
        <f>"00049"</f>
        <v>00049</v>
      </c>
      <c r="N117" t="s">
        <v>149</v>
      </c>
      <c r="O117" s="1">
        <v>3962.57</v>
      </c>
      <c r="Q117" t="s">
        <v>33</v>
      </c>
      <c r="R117" t="s">
        <v>34</v>
      </c>
      <c r="S117" t="s">
        <v>35</v>
      </c>
      <c r="T117" t="s">
        <v>35</v>
      </c>
      <c r="U117" t="s">
        <v>34</v>
      </c>
      <c r="V117" t="str">
        <f>""</f>
        <v/>
      </c>
      <c r="W117">
        <v>20141120</v>
      </c>
      <c r="X117" t="s">
        <v>153</v>
      </c>
      <c r="Y117" t="s">
        <v>154</v>
      </c>
      <c r="Z117" t="s">
        <v>154</v>
      </c>
      <c r="AA117">
        <v>0</v>
      </c>
      <c r="AB117" t="s">
        <v>152</v>
      </c>
      <c r="AC117" t="s">
        <v>143</v>
      </c>
      <c r="AD117" t="s">
        <v>144</v>
      </c>
      <c r="AE117" t="str">
        <f t="shared" si="34"/>
        <v>11</v>
      </c>
      <c r="AF117" t="s">
        <v>40</v>
      </c>
    </row>
    <row r="118" spans="1:32" x14ac:dyDescent="0.25">
      <c r="A118">
        <v>5</v>
      </c>
      <c r="B118">
        <v>429</v>
      </c>
      <c r="C118" t="str">
        <f>"71"</f>
        <v>71</v>
      </c>
      <c r="D118">
        <v>6521</v>
      </c>
      <c r="E118" t="str">
        <f t="shared" si="32"/>
        <v>00</v>
      </c>
      <c r="F118" t="str">
        <f t="shared" si="33"/>
        <v>999</v>
      </c>
      <c r="G118">
        <v>5</v>
      </c>
      <c r="H118" t="str">
        <f>"99"</f>
        <v>99</v>
      </c>
      <c r="I118" t="str">
        <f t="shared" si="19"/>
        <v>0</v>
      </c>
      <c r="J118" t="str">
        <f>"00"</f>
        <v>00</v>
      </c>
      <c r="K118">
        <v>20141104</v>
      </c>
      <c r="L118" t="str">
        <f>"002645"</f>
        <v>002645</v>
      </c>
      <c r="M118" t="str">
        <f>"00049"</f>
        <v>00049</v>
      </c>
      <c r="N118" t="s">
        <v>149</v>
      </c>
      <c r="O118">
        <v>265.8</v>
      </c>
      <c r="Q118" t="s">
        <v>33</v>
      </c>
      <c r="R118" t="s">
        <v>34</v>
      </c>
      <c r="S118" t="s">
        <v>35</v>
      </c>
      <c r="T118" t="s">
        <v>35</v>
      </c>
      <c r="U118" t="s">
        <v>34</v>
      </c>
      <c r="V118" t="str">
        <f>""</f>
        <v/>
      </c>
      <c r="W118">
        <v>20141120</v>
      </c>
      <c r="X118" t="s">
        <v>155</v>
      </c>
      <c r="Y118" t="s">
        <v>156</v>
      </c>
      <c r="Z118" t="s">
        <v>156</v>
      </c>
      <c r="AA118">
        <v>0</v>
      </c>
      <c r="AB118" t="s">
        <v>152</v>
      </c>
      <c r="AC118" t="s">
        <v>143</v>
      </c>
      <c r="AD118" t="s">
        <v>144</v>
      </c>
      <c r="AE118" t="str">
        <f t="shared" si="34"/>
        <v>11</v>
      </c>
      <c r="AF118" t="s">
        <v>40</v>
      </c>
    </row>
    <row r="119" spans="1:32" x14ac:dyDescent="0.25">
      <c r="A119">
        <v>5</v>
      </c>
      <c r="B119">
        <v>429</v>
      </c>
      <c r="C119" t="str">
        <f>"71"</f>
        <v>71</v>
      </c>
      <c r="D119">
        <v>6521</v>
      </c>
      <c r="E119" t="str">
        <f t="shared" si="32"/>
        <v>00</v>
      </c>
      <c r="F119" t="str">
        <f t="shared" si="33"/>
        <v>999</v>
      </c>
      <c r="G119">
        <v>5</v>
      </c>
      <c r="H119" t="str">
        <f>"99"</f>
        <v>99</v>
      </c>
      <c r="I119" t="str">
        <f t="shared" si="19"/>
        <v>0</v>
      </c>
      <c r="J119" t="str">
        <f>"02"</f>
        <v>02</v>
      </c>
      <c r="K119">
        <v>20141104</v>
      </c>
      <c r="L119" t="str">
        <f>"002645"</f>
        <v>002645</v>
      </c>
      <c r="M119" t="str">
        <f>"00049"</f>
        <v>00049</v>
      </c>
      <c r="N119" t="s">
        <v>149</v>
      </c>
      <c r="O119" s="1">
        <v>1774.9</v>
      </c>
      <c r="Q119" t="s">
        <v>33</v>
      </c>
      <c r="R119" t="s">
        <v>34</v>
      </c>
      <c r="S119" t="s">
        <v>35</v>
      </c>
      <c r="T119" t="s">
        <v>35</v>
      </c>
      <c r="U119" t="s">
        <v>34</v>
      </c>
      <c r="V119" t="str">
        <f>""</f>
        <v/>
      </c>
      <c r="W119">
        <v>20141120</v>
      </c>
      <c r="X119" t="s">
        <v>157</v>
      </c>
      <c r="Y119" t="s">
        <v>158</v>
      </c>
      <c r="Z119" t="s">
        <v>158</v>
      </c>
      <c r="AA119">
        <v>0</v>
      </c>
      <c r="AB119" t="s">
        <v>152</v>
      </c>
      <c r="AC119" t="s">
        <v>143</v>
      </c>
      <c r="AD119" t="s">
        <v>144</v>
      </c>
      <c r="AE119" t="str">
        <f t="shared" si="34"/>
        <v>11</v>
      </c>
      <c r="AF119" t="s">
        <v>40</v>
      </c>
    </row>
    <row r="120" spans="1:32" x14ac:dyDescent="0.25">
      <c r="A120">
        <v>5</v>
      </c>
      <c r="B120">
        <v>420</v>
      </c>
      <c r="C120" t="str">
        <f>"41"</f>
        <v>41</v>
      </c>
      <c r="D120">
        <v>6499</v>
      </c>
      <c r="E120" t="str">
        <f t="shared" si="32"/>
        <v>00</v>
      </c>
      <c r="F120" t="str">
        <f>"750"</f>
        <v>750</v>
      </c>
      <c r="G120">
        <v>5</v>
      </c>
      <c r="H120" t="str">
        <f>"99"</f>
        <v>99</v>
      </c>
      <c r="I120" t="str">
        <f t="shared" si="19"/>
        <v>0</v>
      </c>
      <c r="J120" t="str">
        <f>"00"</f>
        <v>00</v>
      </c>
      <c r="K120">
        <v>20141104</v>
      </c>
      <c r="L120" t="str">
        <f>"002646"</f>
        <v>002646</v>
      </c>
      <c r="M120" t="str">
        <f>"00673"</f>
        <v>00673</v>
      </c>
      <c r="N120" t="s">
        <v>159</v>
      </c>
      <c r="O120">
        <v>13</v>
      </c>
      <c r="Q120" t="s">
        <v>33</v>
      </c>
      <c r="R120" t="s">
        <v>34</v>
      </c>
      <c r="S120" t="s">
        <v>35</v>
      </c>
      <c r="T120" t="s">
        <v>35</v>
      </c>
      <c r="U120" t="s">
        <v>34</v>
      </c>
      <c r="V120" t="str">
        <f>""</f>
        <v/>
      </c>
      <c r="W120">
        <v>20141120</v>
      </c>
      <c r="X120" t="s">
        <v>168</v>
      </c>
      <c r="Y120" t="s">
        <v>171</v>
      </c>
      <c r="Z120" t="s">
        <v>171</v>
      </c>
      <c r="AA120">
        <v>0</v>
      </c>
      <c r="AB120" t="s">
        <v>142</v>
      </c>
      <c r="AC120" t="s">
        <v>170</v>
      </c>
      <c r="AD120" t="s">
        <v>144</v>
      </c>
      <c r="AE120" t="str">
        <f t="shared" si="34"/>
        <v>11</v>
      </c>
      <c r="AF120" t="s">
        <v>40</v>
      </c>
    </row>
    <row r="121" spans="1:32" x14ac:dyDescent="0.25">
      <c r="A121">
        <v>5</v>
      </c>
      <c r="B121">
        <v>429</v>
      </c>
      <c r="C121" t="str">
        <f>"71"</f>
        <v>71</v>
      </c>
      <c r="D121">
        <v>6521</v>
      </c>
      <c r="E121" t="str">
        <f t="shared" si="32"/>
        <v>00</v>
      </c>
      <c r="F121" t="str">
        <f>"999"</f>
        <v>999</v>
      </c>
      <c r="G121">
        <v>5</v>
      </c>
      <c r="H121" t="str">
        <f>"99"</f>
        <v>99</v>
      </c>
      <c r="I121" t="str">
        <f t="shared" si="19"/>
        <v>0</v>
      </c>
      <c r="J121" t="str">
        <f>"03"</f>
        <v>03</v>
      </c>
      <c r="K121">
        <v>20141104</v>
      </c>
      <c r="L121" t="str">
        <f>"002646"</f>
        <v>002646</v>
      </c>
      <c r="M121" t="str">
        <f>"00673"</f>
        <v>00673</v>
      </c>
      <c r="N121" t="s">
        <v>159</v>
      </c>
      <c r="O121" s="1">
        <v>6485.64</v>
      </c>
      <c r="Q121" t="s">
        <v>33</v>
      </c>
      <c r="R121" t="s">
        <v>34</v>
      </c>
      <c r="S121" t="s">
        <v>35</v>
      </c>
      <c r="T121" t="s">
        <v>35</v>
      </c>
      <c r="U121" t="s">
        <v>34</v>
      </c>
      <c r="V121" t="str">
        <f>""</f>
        <v/>
      </c>
      <c r="W121">
        <v>20141120</v>
      </c>
      <c r="X121" t="s">
        <v>160</v>
      </c>
      <c r="Y121" t="s">
        <v>161</v>
      </c>
      <c r="Z121" t="s">
        <v>161</v>
      </c>
      <c r="AA121">
        <v>0</v>
      </c>
      <c r="AB121" t="s">
        <v>152</v>
      </c>
      <c r="AC121" t="s">
        <v>143</v>
      </c>
      <c r="AD121" t="s">
        <v>144</v>
      </c>
      <c r="AE121" t="str">
        <f t="shared" si="34"/>
        <v>11</v>
      </c>
      <c r="AF121" t="s">
        <v>40</v>
      </c>
    </row>
    <row r="122" spans="1:32" x14ac:dyDescent="0.25">
      <c r="A122">
        <v>5</v>
      </c>
      <c r="B122">
        <v>429</v>
      </c>
      <c r="C122" t="str">
        <f>"71"</f>
        <v>71</v>
      </c>
      <c r="D122">
        <v>6521</v>
      </c>
      <c r="E122" t="str">
        <f t="shared" si="32"/>
        <v>00</v>
      </c>
      <c r="F122" t="str">
        <f>"999"</f>
        <v>999</v>
      </c>
      <c r="G122">
        <v>5</v>
      </c>
      <c r="H122" t="str">
        <f>"99"</f>
        <v>99</v>
      </c>
      <c r="I122" t="str">
        <f t="shared" si="19"/>
        <v>0</v>
      </c>
      <c r="J122" t="str">
        <f>"04"</f>
        <v>04</v>
      </c>
      <c r="K122">
        <v>20141104</v>
      </c>
      <c r="L122" t="str">
        <f>"002646"</f>
        <v>002646</v>
      </c>
      <c r="M122" t="str">
        <f>"00673"</f>
        <v>00673</v>
      </c>
      <c r="N122" t="s">
        <v>159</v>
      </c>
      <c r="O122" s="1">
        <v>9916.67</v>
      </c>
      <c r="Q122" t="s">
        <v>33</v>
      </c>
      <c r="R122" t="s">
        <v>34</v>
      </c>
      <c r="S122" t="s">
        <v>35</v>
      </c>
      <c r="T122" t="s">
        <v>35</v>
      </c>
      <c r="U122" t="s">
        <v>34</v>
      </c>
      <c r="V122" t="str">
        <f>""</f>
        <v/>
      </c>
      <c r="W122">
        <v>20141120</v>
      </c>
      <c r="X122" t="s">
        <v>162</v>
      </c>
      <c r="Y122" t="s">
        <v>163</v>
      </c>
      <c r="Z122" t="s">
        <v>163</v>
      </c>
      <c r="AA122">
        <v>0</v>
      </c>
      <c r="AB122" t="s">
        <v>152</v>
      </c>
      <c r="AC122" t="s">
        <v>143</v>
      </c>
      <c r="AD122" t="s">
        <v>144</v>
      </c>
      <c r="AE122" t="str">
        <f t="shared" si="34"/>
        <v>11</v>
      </c>
      <c r="AF122" t="s">
        <v>40</v>
      </c>
    </row>
    <row r="123" spans="1:32" x14ac:dyDescent="0.25">
      <c r="A123">
        <v>5</v>
      </c>
      <c r="B123">
        <v>420</v>
      </c>
      <c r="C123" t="str">
        <f>"11"</f>
        <v>11</v>
      </c>
      <c r="D123">
        <v>6219</v>
      </c>
      <c r="E123" t="str">
        <f t="shared" si="32"/>
        <v>00</v>
      </c>
      <c r="F123" t="str">
        <f>"101"</f>
        <v>101</v>
      </c>
      <c r="G123">
        <v>5</v>
      </c>
      <c r="H123" t="str">
        <f>"11"</f>
        <v>11</v>
      </c>
      <c r="I123" t="str">
        <f t="shared" si="19"/>
        <v>0</v>
      </c>
      <c r="J123" t="str">
        <f t="shared" ref="J123:J135" si="35">"00"</f>
        <v>00</v>
      </c>
      <c r="K123">
        <v>20141104</v>
      </c>
      <c r="L123" t="str">
        <f>"002647"</f>
        <v>002647</v>
      </c>
      <c r="M123" t="str">
        <f>"00686"</f>
        <v>00686</v>
      </c>
      <c r="N123" t="s">
        <v>146</v>
      </c>
      <c r="O123" s="1">
        <v>1680.12</v>
      </c>
      <c r="Q123" t="s">
        <v>33</v>
      </c>
      <c r="R123" t="s">
        <v>34</v>
      </c>
      <c r="S123" t="s">
        <v>35</v>
      </c>
      <c r="T123" t="s">
        <v>35</v>
      </c>
      <c r="U123" t="s">
        <v>34</v>
      </c>
      <c r="V123" t="str">
        <f>""</f>
        <v/>
      </c>
      <c r="W123">
        <v>20141120</v>
      </c>
      <c r="X123" t="s">
        <v>147</v>
      </c>
      <c r="Y123" t="s">
        <v>148</v>
      </c>
      <c r="Z123" t="s">
        <v>148</v>
      </c>
      <c r="AA123">
        <v>0</v>
      </c>
      <c r="AB123" t="s">
        <v>142</v>
      </c>
      <c r="AC123" t="s">
        <v>41</v>
      </c>
      <c r="AD123" t="s">
        <v>144</v>
      </c>
      <c r="AE123" t="str">
        <f t="shared" si="34"/>
        <v>11</v>
      </c>
      <c r="AF123" t="s">
        <v>40</v>
      </c>
    </row>
    <row r="124" spans="1:32" x14ac:dyDescent="0.25">
      <c r="A124">
        <v>5</v>
      </c>
      <c r="B124">
        <v>420</v>
      </c>
      <c r="C124" t="str">
        <f>"51"</f>
        <v>51</v>
      </c>
      <c r="D124">
        <v>6219</v>
      </c>
      <c r="E124" t="str">
        <f t="shared" si="32"/>
        <v>00</v>
      </c>
      <c r="F124" t="str">
        <f>"999"</f>
        <v>999</v>
      </c>
      <c r="G124">
        <v>5</v>
      </c>
      <c r="H124" t="str">
        <f>"99"</f>
        <v>99</v>
      </c>
      <c r="I124" t="str">
        <f t="shared" si="19"/>
        <v>0</v>
      </c>
      <c r="J124" t="str">
        <f t="shared" si="35"/>
        <v>00</v>
      </c>
      <c r="K124">
        <v>20141106</v>
      </c>
      <c r="L124" t="str">
        <f>"002648"</f>
        <v>002648</v>
      </c>
      <c r="M124" t="str">
        <f>"00669"</f>
        <v>00669</v>
      </c>
      <c r="N124" t="s">
        <v>182</v>
      </c>
      <c r="O124" s="1">
        <v>9672</v>
      </c>
      <c r="Q124" t="s">
        <v>33</v>
      </c>
      <c r="R124" t="s">
        <v>34</v>
      </c>
      <c r="S124" t="s">
        <v>35</v>
      </c>
      <c r="T124" t="s">
        <v>35</v>
      </c>
      <c r="U124" t="s">
        <v>34</v>
      </c>
      <c r="V124" t="str">
        <f>""</f>
        <v/>
      </c>
      <c r="W124">
        <v>20141120</v>
      </c>
      <c r="X124" t="s">
        <v>183</v>
      </c>
      <c r="Y124" t="s">
        <v>184</v>
      </c>
      <c r="Z124" t="s">
        <v>184</v>
      </c>
      <c r="AA124">
        <v>0</v>
      </c>
      <c r="AB124" t="s">
        <v>142</v>
      </c>
      <c r="AC124" t="s">
        <v>143</v>
      </c>
      <c r="AD124" t="s">
        <v>144</v>
      </c>
      <c r="AE124" t="str">
        <f t="shared" si="34"/>
        <v>11</v>
      </c>
      <c r="AF124" t="s">
        <v>40</v>
      </c>
    </row>
    <row r="125" spans="1:32" x14ac:dyDescent="0.25">
      <c r="A125">
        <v>5</v>
      </c>
      <c r="B125">
        <v>420</v>
      </c>
      <c r="C125" t="str">
        <f>"51"</f>
        <v>51</v>
      </c>
      <c r="D125">
        <v>6319</v>
      </c>
      <c r="E125" t="str">
        <f t="shared" si="32"/>
        <v>00</v>
      </c>
      <c r="F125" t="str">
        <f>"999"</f>
        <v>999</v>
      </c>
      <c r="G125">
        <v>5</v>
      </c>
      <c r="H125" t="str">
        <f>"99"</f>
        <v>99</v>
      </c>
      <c r="I125" t="str">
        <f t="shared" si="19"/>
        <v>0</v>
      </c>
      <c r="J125" t="str">
        <f t="shared" si="35"/>
        <v>00</v>
      </c>
      <c r="K125">
        <v>20141106</v>
      </c>
      <c r="L125" t="str">
        <f>"002648"</f>
        <v>002648</v>
      </c>
      <c r="M125" t="str">
        <f>"00669"</f>
        <v>00669</v>
      </c>
      <c r="N125" t="s">
        <v>182</v>
      </c>
      <c r="O125" s="1">
        <v>9672</v>
      </c>
      <c r="Q125" t="s">
        <v>33</v>
      </c>
      <c r="R125" t="s">
        <v>34</v>
      </c>
      <c r="S125" t="s">
        <v>35</v>
      </c>
      <c r="T125" t="s">
        <v>35</v>
      </c>
      <c r="U125" t="s">
        <v>34</v>
      </c>
      <c r="V125" t="str">
        <f>""</f>
        <v/>
      </c>
      <c r="W125">
        <v>20141120</v>
      </c>
      <c r="X125" t="s">
        <v>185</v>
      </c>
      <c r="Y125" t="s">
        <v>184</v>
      </c>
      <c r="Z125" t="s">
        <v>184</v>
      </c>
      <c r="AA125">
        <v>0</v>
      </c>
      <c r="AB125" t="s">
        <v>142</v>
      </c>
      <c r="AC125" t="s">
        <v>143</v>
      </c>
      <c r="AD125" t="s">
        <v>144</v>
      </c>
      <c r="AE125" t="str">
        <f t="shared" si="34"/>
        <v>11</v>
      </c>
      <c r="AF125" t="s">
        <v>40</v>
      </c>
    </row>
    <row r="126" spans="1:32" x14ac:dyDescent="0.25">
      <c r="A126">
        <v>5</v>
      </c>
      <c r="B126">
        <v>420</v>
      </c>
      <c r="C126" t="str">
        <f t="shared" ref="C126:C131" si="36">"11"</f>
        <v>11</v>
      </c>
      <c r="D126">
        <v>6219</v>
      </c>
      <c r="E126" t="str">
        <f t="shared" si="32"/>
        <v>00</v>
      </c>
      <c r="F126" t="str">
        <f>"001"</f>
        <v>001</v>
      </c>
      <c r="G126">
        <v>5</v>
      </c>
      <c r="H126" t="str">
        <f>"11"</f>
        <v>11</v>
      </c>
      <c r="I126" t="str">
        <f t="shared" si="19"/>
        <v>0</v>
      </c>
      <c r="J126" t="str">
        <f t="shared" si="35"/>
        <v>00</v>
      </c>
      <c r="K126">
        <v>20141108</v>
      </c>
      <c r="L126" t="str">
        <f>"002649"</f>
        <v>002649</v>
      </c>
      <c r="M126" t="str">
        <f>"00704"</f>
        <v>00704</v>
      </c>
      <c r="N126" t="s">
        <v>164</v>
      </c>
      <c r="O126">
        <v>244.79</v>
      </c>
      <c r="Q126" t="s">
        <v>33</v>
      </c>
      <c r="R126" t="s">
        <v>34</v>
      </c>
      <c r="S126" t="s">
        <v>35</v>
      </c>
      <c r="T126" t="s">
        <v>35</v>
      </c>
      <c r="U126" t="s">
        <v>34</v>
      </c>
      <c r="V126" t="str">
        <f>""</f>
        <v/>
      </c>
      <c r="W126">
        <v>20141120</v>
      </c>
      <c r="X126" t="s">
        <v>165</v>
      </c>
      <c r="Y126" t="s">
        <v>141</v>
      </c>
      <c r="Z126" t="s">
        <v>141</v>
      </c>
      <c r="AA126">
        <v>0</v>
      </c>
      <c r="AB126" t="s">
        <v>142</v>
      </c>
      <c r="AC126" t="s">
        <v>41</v>
      </c>
      <c r="AD126" t="s">
        <v>144</v>
      </c>
      <c r="AE126" t="str">
        <f t="shared" si="34"/>
        <v>11</v>
      </c>
      <c r="AF126" t="s">
        <v>40</v>
      </c>
    </row>
    <row r="127" spans="1:32" x14ac:dyDescent="0.25">
      <c r="A127">
        <v>5</v>
      </c>
      <c r="B127">
        <v>420</v>
      </c>
      <c r="C127" t="str">
        <f t="shared" si="36"/>
        <v>11</v>
      </c>
      <c r="D127">
        <v>6219</v>
      </c>
      <c r="E127" t="str">
        <f t="shared" si="32"/>
        <v>00</v>
      </c>
      <c r="F127" t="str">
        <f>"999"</f>
        <v>999</v>
      </c>
      <c r="G127">
        <v>5</v>
      </c>
      <c r="H127" t="str">
        <f>"11"</f>
        <v>11</v>
      </c>
      <c r="I127" t="str">
        <f t="shared" si="19"/>
        <v>0</v>
      </c>
      <c r="J127" t="str">
        <f t="shared" si="35"/>
        <v>00</v>
      </c>
      <c r="K127">
        <v>20141108</v>
      </c>
      <c r="L127" t="str">
        <f>"002649"</f>
        <v>002649</v>
      </c>
      <c r="M127" t="str">
        <f>"00704"</f>
        <v>00704</v>
      </c>
      <c r="N127" t="s">
        <v>164</v>
      </c>
      <c r="O127" s="1">
        <v>1131.76</v>
      </c>
      <c r="Q127" t="s">
        <v>33</v>
      </c>
      <c r="R127" t="s">
        <v>34</v>
      </c>
      <c r="S127" t="s">
        <v>35</v>
      </c>
      <c r="T127" t="s">
        <v>35</v>
      </c>
      <c r="U127" t="s">
        <v>34</v>
      </c>
      <c r="V127" t="str">
        <f>""</f>
        <v/>
      </c>
      <c r="W127">
        <v>20141120</v>
      </c>
      <c r="X127" t="s">
        <v>166</v>
      </c>
      <c r="Y127" t="s">
        <v>141</v>
      </c>
      <c r="Z127" t="s">
        <v>141</v>
      </c>
      <c r="AA127">
        <v>0</v>
      </c>
      <c r="AB127" t="s">
        <v>142</v>
      </c>
      <c r="AC127" t="s">
        <v>143</v>
      </c>
      <c r="AD127" t="s">
        <v>144</v>
      </c>
      <c r="AE127" t="str">
        <f t="shared" si="34"/>
        <v>11</v>
      </c>
      <c r="AF127" t="s">
        <v>40</v>
      </c>
    </row>
    <row r="128" spans="1:32" x14ac:dyDescent="0.25">
      <c r="A128">
        <v>5</v>
      </c>
      <c r="B128">
        <v>211</v>
      </c>
      <c r="C128" t="str">
        <f t="shared" si="36"/>
        <v>11</v>
      </c>
      <c r="D128">
        <v>6219</v>
      </c>
      <c r="E128" t="str">
        <f t="shared" si="32"/>
        <v>00</v>
      </c>
      <c r="F128" t="str">
        <f>"101"</f>
        <v>101</v>
      </c>
      <c r="G128">
        <v>5</v>
      </c>
      <c r="H128" t="str">
        <f>"30"</f>
        <v>30</v>
      </c>
      <c r="I128" t="str">
        <f t="shared" si="19"/>
        <v>0</v>
      </c>
      <c r="J128" t="str">
        <f t="shared" si="35"/>
        <v>00</v>
      </c>
      <c r="K128">
        <v>20141119</v>
      </c>
      <c r="L128" t="str">
        <f>"002650"</f>
        <v>002650</v>
      </c>
      <c r="M128" t="str">
        <f>"00173"</f>
        <v>00173</v>
      </c>
      <c r="N128" t="s">
        <v>180</v>
      </c>
      <c r="O128">
        <v>612.5</v>
      </c>
      <c r="Q128" t="s">
        <v>33</v>
      </c>
      <c r="R128" t="s">
        <v>34</v>
      </c>
      <c r="S128" t="s">
        <v>35</v>
      </c>
      <c r="T128" t="s">
        <v>35</v>
      </c>
      <c r="U128" t="s">
        <v>34</v>
      </c>
      <c r="V128" t="str">
        <f>""</f>
        <v/>
      </c>
      <c r="W128">
        <v>20141120</v>
      </c>
      <c r="X128" t="s">
        <v>181</v>
      </c>
      <c r="Y128" t="s">
        <v>141</v>
      </c>
      <c r="Z128" t="s">
        <v>141</v>
      </c>
      <c r="AA128">
        <v>0</v>
      </c>
      <c r="AB128" t="s">
        <v>174</v>
      </c>
      <c r="AC128" t="s">
        <v>41</v>
      </c>
      <c r="AD128" t="s">
        <v>144</v>
      </c>
      <c r="AE128" t="str">
        <f t="shared" si="34"/>
        <v>11</v>
      </c>
      <c r="AF128" t="s">
        <v>40</v>
      </c>
    </row>
    <row r="129" spans="1:32" x14ac:dyDescent="0.25">
      <c r="A129">
        <v>5</v>
      </c>
      <c r="B129">
        <v>420</v>
      </c>
      <c r="C129" t="str">
        <f t="shared" si="36"/>
        <v>11</v>
      </c>
      <c r="D129">
        <v>6219</v>
      </c>
      <c r="E129" t="str">
        <f t="shared" si="32"/>
        <v>00</v>
      </c>
      <c r="F129" t="str">
        <f>"999"</f>
        <v>999</v>
      </c>
      <c r="G129">
        <v>5</v>
      </c>
      <c r="H129" t="str">
        <f>"11"</f>
        <v>11</v>
      </c>
      <c r="I129" t="str">
        <f t="shared" si="19"/>
        <v>0</v>
      </c>
      <c r="J129" t="str">
        <f t="shared" si="35"/>
        <v>00</v>
      </c>
      <c r="K129">
        <v>20141119</v>
      </c>
      <c r="L129" t="str">
        <f>"002651"</f>
        <v>002651</v>
      </c>
      <c r="M129" t="str">
        <f>"00213"</f>
        <v>00213</v>
      </c>
      <c r="N129" t="s">
        <v>187</v>
      </c>
      <c r="O129" s="1">
        <v>2250</v>
      </c>
      <c r="Q129" t="s">
        <v>33</v>
      </c>
      <c r="R129" t="s">
        <v>34</v>
      </c>
      <c r="S129" t="s">
        <v>35</v>
      </c>
      <c r="T129" t="s">
        <v>35</v>
      </c>
      <c r="U129" t="s">
        <v>34</v>
      </c>
      <c r="V129" t="str">
        <f>""</f>
        <v/>
      </c>
      <c r="W129">
        <v>20141120</v>
      </c>
      <c r="X129" t="s">
        <v>166</v>
      </c>
      <c r="Y129" t="s">
        <v>141</v>
      </c>
      <c r="Z129" t="s">
        <v>141</v>
      </c>
      <c r="AA129">
        <v>0</v>
      </c>
      <c r="AB129" t="s">
        <v>142</v>
      </c>
      <c r="AC129" t="s">
        <v>143</v>
      </c>
      <c r="AD129" t="s">
        <v>144</v>
      </c>
      <c r="AE129" t="str">
        <f t="shared" si="34"/>
        <v>11</v>
      </c>
      <c r="AF129" t="s">
        <v>40</v>
      </c>
    </row>
    <row r="130" spans="1:32" x14ac:dyDescent="0.25">
      <c r="A130">
        <v>5</v>
      </c>
      <c r="B130">
        <v>255</v>
      </c>
      <c r="C130" t="str">
        <f t="shared" si="36"/>
        <v>11</v>
      </c>
      <c r="D130">
        <v>6219</v>
      </c>
      <c r="E130" t="str">
        <f t="shared" si="32"/>
        <v>00</v>
      </c>
      <c r="F130" t="str">
        <f>"999"</f>
        <v>999</v>
      </c>
      <c r="G130">
        <v>5</v>
      </c>
      <c r="H130" t="str">
        <f>"30"</f>
        <v>30</v>
      </c>
      <c r="I130" t="str">
        <f t="shared" ref="I130:I193" si="37">"0"</f>
        <v>0</v>
      </c>
      <c r="J130" t="str">
        <f t="shared" si="35"/>
        <v>00</v>
      </c>
      <c r="K130">
        <v>20141119</v>
      </c>
      <c r="L130" t="str">
        <f>"002652"</f>
        <v>002652</v>
      </c>
      <c r="M130" t="str">
        <f>"00523"</f>
        <v>00523</v>
      </c>
      <c r="N130" t="s">
        <v>176</v>
      </c>
      <c r="O130" s="1">
        <v>1950</v>
      </c>
      <c r="Q130" t="s">
        <v>33</v>
      </c>
      <c r="R130" t="s">
        <v>34</v>
      </c>
      <c r="S130" t="s">
        <v>35</v>
      </c>
      <c r="T130" t="s">
        <v>35</v>
      </c>
      <c r="U130" t="s">
        <v>34</v>
      </c>
      <c r="V130" t="str">
        <f>""</f>
        <v/>
      </c>
      <c r="W130">
        <v>20141120</v>
      </c>
      <c r="X130" t="s">
        <v>177</v>
      </c>
      <c r="Y130" t="s">
        <v>141</v>
      </c>
      <c r="Z130" t="s">
        <v>141</v>
      </c>
      <c r="AA130">
        <v>0</v>
      </c>
      <c r="AB130" t="s">
        <v>178</v>
      </c>
      <c r="AC130" t="s">
        <v>143</v>
      </c>
      <c r="AD130" t="s">
        <v>144</v>
      </c>
      <c r="AE130" t="str">
        <f t="shared" si="34"/>
        <v>11</v>
      </c>
      <c r="AF130" t="s">
        <v>40</v>
      </c>
    </row>
    <row r="131" spans="1:32" x14ac:dyDescent="0.25">
      <c r="A131">
        <v>5</v>
      </c>
      <c r="B131">
        <v>255</v>
      </c>
      <c r="C131" t="str">
        <f t="shared" si="36"/>
        <v>11</v>
      </c>
      <c r="D131">
        <v>6219</v>
      </c>
      <c r="E131" t="str">
        <f t="shared" si="32"/>
        <v>00</v>
      </c>
      <c r="F131" t="str">
        <f>"999"</f>
        <v>999</v>
      </c>
      <c r="G131">
        <v>5</v>
      </c>
      <c r="H131" t="str">
        <f>"30"</f>
        <v>30</v>
      </c>
      <c r="I131" t="str">
        <f t="shared" si="37"/>
        <v>0</v>
      </c>
      <c r="J131" t="str">
        <f t="shared" si="35"/>
        <v>00</v>
      </c>
      <c r="K131">
        <v>20141119</v>
      </c>
      <c r="L131" t="str">
        <f>"002653"</f>
        <v>002653</v>
      </c>
      <c r="M131" t="str">
        <f>"00595"</f>
        <v>00595</v>
      </c>
      <c r="N131" t="s">
        <v>172</v>
      </c>
      <c r="O131" s="1">
        <v>1265</v>
      </c>
      <c r="Q131" t="s">
        <v>33</v>
      </c>
      <c r="R131" t="s">
        <v>34</v>
      </c>
      <c r="S131" t="s">
        <v>35</v>
      </c>
      <c r="T131" t="s">
        <v>35</v>
      </c>
      <c r="U131" t="s">
        <v>34</v>
      </c>
      <c r="V131" t="str">
        <f>""</f>
        <v/>
      </c>
      <c r="W131">
        <v>20141121</v>
      </c>
      <c r="X131" t="s">
        <v>177</v>
      </c>
      <c r="Y131" t="s">
        <v>141</v>
      </c>
      <c r="Z131" t="s">
        <v>141</v>
      </c>
      <c r="AA131">
        <v>0</v>
      </c>
      <c r="AB131" t="s">
        <v>178</v>
      </c>
      <c r="AC131" t="s">
        <v>143</v>
      </c>
      <c r="AD131" t="s">
        <v>144</v>
      </c>
      <c r="AE131" t="str">
        <f t="shared" si="34"/>
        <v>11</v>
      </c>
      <c r="AF131" t="s">
        <v>40</v>
      </c>
    </row>
    <row r="132" spans="1:32" x14ac:dyDescent="0.25">
      <c r="A132">
        <v>5</v>
      </c>
      <c r="B132">
        <v>420</v>
      </c>
      <c r="C132" t="str">
        <f>"34"</f>
        <v>34</v>
      </c>
      <c r="D132">
        <v>6219</v>
      </c>
      <c r="E132" t="str">
        <f t="shared" si="32"/>
        <v>00</v>
      </c>
      <c r="F132" t="str">
        <f>"999"</f>
        <v>999</v>
      </c>
      <c r="G132">
        <v>5</v>
      </c>
      <c r="H132" t="str">
        <f>"99"</f>
        <v>99</v>
      </c>
      <c r="I132" t="str">
        <f t="shared" si="37"/>
        <v>0</v>
      </c>
      <c r="J132" t="str">
        <f t="shared" si="35"/>
        <v>00</v>
      </c>
      <c r="K132">
        <v>20141119</v>
      </c>
      <c r="L132" t="str">
        <f>"002654"</f>
        <v>002654</v>
      </c>
      <c r="M132" t="str">
        <f>"00782"</f>
        <v>00782</v>
      </c>
      <c r="N132" t="s">
        <v>145</v>
      </c>
      <c r="O132" s="1">
        <v>1963</v>
      </c>
      <c r="Q132" t="s">
        <v>33</v>
      </c>
      <c r="R132" t="s">
        <v>34</v>
      </c>
      <c r="S132" t="s">
        <v>35</v>
      </c>
      <c r="T132" t="s">
        <v>35</v>
      </c>
      <c r="U132" t="s">
        <v>34</v>
      </c>
      <c r="V132" t="str">
        <f>""</f>
        <v/>
      </c>
      <c r="W132">
        <v>20141121</v>
      </c>
      <c r="X132" t="s">
        <v>140</v>
      </c>
      <c r="Y132" t="s">
        <v>179</v>
      </c>
      <c r="Z132" t="s">
        <v>179</v>
      </c>
      <c r="AA132">
        <v>0</v>
      </c>
      <c r="AB132" t="s">
        <v>142</v>
      </c>
      <c r="AC132" t="s">
        <v>143</v>
      </c>
      <c r="AD132" t="s">
        <v>144</v>
      </c>
      <c r="AE132" t="str">
        <f t="shared" si="34"/>
        <v>11</v>
      </c>
      <c r="AF132" t="s">
        <v>40</v>
      </c>
    </row>
    <row r="133" spans="1:32" x14ac:dyDescent="0.25">
      <c r="A133">
        <v>5</v>
      </c>
      <c r="B133">
        <v>420</v>
      </c>
      <c r="C133" t="str">
        <f>"34"</f>
        <v>34</v>
      </c>
      <c r="D133">
        <v>6219</v>
      </c>
      <c r="E133" t="str">
        <f t="shared" si="32"/>
        <v>00</v>
      </c>
      <c r="F133" t="str">
        <f>"999"</f>
        <v>999</v>
      </c>
      <c r="G133">
        <v>5</v>
      </c>
      <c r="H133" t="str">
        <f>"99"</f>
        <v>99</v>
      </c>
      <c r="I133" t="str">
        <f t="shared" si="37"/>
        <v>0</v>
      </c>
      <c r="J133" t="str">
        <f t="shared" si="35"/>
        <v>00</v>
      </c>
      <c r="K133">
        <v>20141119</v>
      </c>
      <c r="L133" t="str">
        <f>"002655"</f>
        <v>002655</v>
      </c>
      <c r="M133" t="str">
        <f>"00516"</f>
        <v>00516</v>
      </c>
      <c r="N133" t="s">
        <v>139</v>
      </c>
      <c r="O133" s="1">
        <v>1683</v>
      </c>
      <c r="Q133" t="s">
        <v>33</v>
      </c>
      <c r="R133" t="s">
        <v>34</v>
      </c>
      <c r="S133" t="s">
        <v>35</v>
      </c>
      <c r="T133" t="s">
        <v>35</v>
      </c>
      <c r="U133" t="s">
        <v>34</v>
      </c>
      <c r="V133" t="str">
        <f>""</f>
        <v/>
      </c>
      <c r="W133">
        <v>20141121</v>
      </c>
      <c r="X133" t="s">
        <v>140</v>
      </c>
      <c r="Y133" t="s">
        <v>179</v>
      </c>
      <c r="Z133" t="s">
        <v>179</v>
      </c>
      <c r="AA133">
        <v>0</v>
      </c>
      <c r="AB133" t="s">
        <v>142</v>
      </c>
      <c r="AC133" t="s">
        <v>143</v>
      </c>
      <c r="AD133" t="s">
        <v>144</v>
      </c>
      <c r="AE133" t="str">
        <f t="shared" si="34"/>
        <v>11</v>
      </c>
      <c r="AF133" t="s">
        <v>40</v>
      </c>
    </row>
    <row r="134" spans="1:32" x14ac:dyDescent="0.25">
      <c r="A134">
        <v>5</v>
      </c>
      <c r="B134">
        <v>420</v>
      </c>
      <c r="C134" t="str">
        <f>"41"</f>
        <v>41</v>
      </c>
      <c r="D134">
        <v>6499</v>
      </c>
      <c r="E134" t="str">
        <f t="shared" si="32"/>
        <v>00</v>
      </c>
      <c r="F134" t="str">
        <f>"750"</f>
        <v>750</v>
      </c>
      <c r="G134">
        <v>5</v>
      </c>
      <c r="H134" t="str">
        <f>"99"</f>
        <v>99</v>
      </c>
      <c r="I134" t="str">
        <f t="shared" si="37"/>
        <v>0</v>
      </c>
      <c r="J134" t="str">
        <f t="shared" si="35"/>
        <v>00</v>
      </c>
      <c r="K134">
        <v>20141104</v>
      </c>
      <c r="L134" t="str">
        <f>"002656"</f>
        <v>002656</v>
      </c>
      <c r="M134" t="str">
        <f>"00548"</f>
        <v>00548</v>
      </c>
      <c r="N134" t="s">
        <v>167</v>
      </c>
      <c r="O134">
        <v>25</v>
      </c>
      <c r="Q134" t="s">
        <v>33</v>
      </c>
      <c r="R134" t="s">
        <v>34</v>
      </c>
      <c r="S134" t="s">
        <v>35</v>
      </c>
      <c r="T134" t="s">
        <v>35</v>
      </c>
      <c r="U134" t="s">
        <v>34</v>
      </c>
      <c r="V134" t="str">
        <f>""</f>
        <v/>
      </c>
      <c r="W134">
        <v>20141205</v>
      </c>
      <c r="X134" t="s">
        <v>168</v>
      </c>
      <c r="Y134" t="s">
        <v>169</v>
      </c>
      <c r="Z134" t="s">
        <v>169</v>
      </c>
      <c r="AA134">
        <v>0</v>
      </c>
      <c r="AB134" t="s">
        <v>142</v>
      </c>
      <c r="AC134" t="s">
        <v>170</v>
      </c>
      <c r="AD134" t="s">
        <v>144</v>
      </c>
      <c r="AE134" t="str">
        <f t="shared" si="34"/>
        <v>11</v>
      </c>
      <c r="AF134" t="s">
        <v>40</v>
      </c>
    </row>
    <row r="135" spans="1:32" x14ac:dyDescent="0.25">
      <c r="A135">
        <v>5</v>
      </c>
      <c r="B135">
        <v>429</v>
      </c>
      <c r="C135" t="str">
        <f>"71"</f>
        <v>71</v>
      </c>
      <c r="D135">
        <v>6521</v>
      </c>
      <c r="E135" t="str">
        <f t="shared" si="32"/>
        <v>00</v>
      </c>
      <c r="F135" t="str">
        <f>"999"</f>
        <v>999</v>
      </c>
      <c r="G135">
        <v>5</v>
      </c>
      <c r="H135" t="str">
        <f>"98"</f>
        <v>98</v>
      </c>
      <c r="I135" t="str">
        <f t="shared" si="37"/>
        <v>0</v>
      </c>
      <c r="J135" t="str">
        <f t="shared" si="35"/>
        <v>00</v>
      </c>
      <c r="K135">
        <v>20141201</v>
      </c>
      <c r="L135" t="str">
        <f>"002657"</f>
        <v>002657</v>
      </c>
      <c r="M135" t="str">
        <f>"00049"</f>
        <v>00049</v>
      </c>
      <c r="N135" t="s">
        <v>149</v>
      </c>
      <c r="O135" s="1">
        <v>12784.83</v>
      </c>
      <c r="Q135" t="s">
        <v>33</v>
      </c>
      <c r="R135" t="s">
        <v>34</v>
      </c>
      <c r="S135" t="s">
        <v>35</v>
      </c>
      <c r="T135" t="s">
        <v>35</v>
      </c>
      <c r="U135" t="s">
        <v>34</v>
      </c>
      <c r="V135" t="str">
        <f>""</f>
        <v/>
      </c>
      <c r="W135">
        <v>20141230</v>
      </c>
      <c r="X135" t="s">
        <v>150</v>
      </c>
      <c r="Y135" t="s">
        <v>151</v>
      </c>
      <c r="Z135" t="s">
        <v>151</v>
      </c>
      <c r="AA135">
        <v>0</v>
      </c>
      <c r="AB135" t="s">
        <v>152</v>
      </c>
      <c r="AC135" t="s">
        <v>143</v>
      </c>
      <c r="AD135" t="s">
        <v>144</v>
      </c>
      <c r="AE135" t="str">
        <f t="shared" ref="AE135:AE145" si="38">"12"</f>
        <v>12</v>
      </c>
      <c r="AF135" t="s">
        <v>40</v>
      </c>
    </row>
    <row r="136" spans="1:32" x14ac:dyDescent="0.25">
      <c r="A136">
        <v>5</v>
      </c>
      <c r="B136">
        <v>429</v>
      </c>
      <c r="C136" t="str">
        <f>"71"</f>
        <v>71</v>
      </c>
      <c r="D136">
        <v>6521</v>
      </c>
      <c r="E136" t="str">
        <f t="shared" si="32"/>
        <v>00</v>
      </c>
      <c r="F136" t="str">
        <f>"999"</f>
        <v>999</v>
      </c>
      <c r="G136">
        <v>5</v>
      </c>
      <c r="H136" t="str">
        <f>"98"</f>
        <v>98</v>
      </c>
      <c r="I136" t="str">
        <f t="shared" si="37"/>
        <v>0</v>
      </c>
      <c r="J136" t="str">
        <f>"01"</f>
        <v>01</v>
      </c>
      <c r="K136">
        <v>20141201</v>
      </c>
      <c r="L136" t="str">
        <f>"002657"</f>
        <v>002657</v>
      </c>
      <c r="M136" t="str">
        <f>"00049"</f>
        <v>00049</v>
      </c>
      <c r="N136" t="s">
        <v>149</v>
      </c>
      <c r="O136" s="1">
        <v>3962.57</v>
      </c>
      <c r="Q136" t="s">
        <v>33</v>
      </c>
      <c r="R136" t="s">
        <v>34</v>
      </c>
      <c r="S136" t="s">
        <v>35</v>
      </c>
      <c r="T136" t="s">
        <v>35</v>
      </c>
      <c r="U136" t="s">
        <v>34</v>
      </c>
      <c r="V136" t="str">
        <f>""</f>
        <v/>
      </c>
      <c r="W136">
        <v>20141230</v>
      </c>
      <c r="X136" t="s">
        <v>153</v>
      </c>
      <c r="Y136" t="s">
        <v>154</v>
      </c>
      <c r="Z136" t="s">
        <v>154</v>
      </c>
      <c r="AA136">
        <v>0</v>
      </c>
      <c r="AB136" t="s">
        <v>152</v>
      </c>
      <c r="AC136" t="s">
        <v>143</v>
      </c>
      <c r="AD136" t="s">
        <v>144</v>
      </c>
      <c r="AE136" t="str">
        <f t="shared" si="38"/>
        <v>12</v>
      </c>
      <c r="AF136" t="s">
        <v>40</v>
      </c>
    </row>
    <row r="137" spans="1:32" x14ac:dyDescent="0.25">
      <c r="A137">
        <v>5</v>
      </c>
      <c r="B137">
        <v>429</v>
      </c>
      <c r="C137" t="str">
        <f>"71"</f>
        <v>71</v>
      </c>
      <c r="D137">
        <v>6521</v>
      </c>
      <c r="E137" t="str">
        <f t="shared" si="32"/>
        <v>00</v>
      </c>
      <c r="F137" t="str">
        <f>"999"</f>
        <v>999</v>
      </c>
      <c r="G137">
        <v>5</v>
      </c>
      <c r="H137" t="str">
        <f>"99"</f>
        <v>99</v>
      </c>
      <c r="I137" t="str">
        <f t="shared" si="37"/>
        <v>0</v>
      </c>
      <c r="J137" t="str">
        <f>"00"</f>
        <v>00</v>
      </c>
      <c r="K137">
        <v>20141201</v>
      </c>
      <c r="L137" t="str">
        <f>"002657"</f>
        <v>002657</v>
      </c>
      <c r="M137" t="str">
        <f>"00049"</f>
        <v>00049</v>
      </c>
      <c r="N137" t="s">
        <v>149</v>
      </c>
      <c r="O137">
        <v>265.8</v>
      </c>
      <c r="Q137" t="s">
        <v>33</v>
      </c>
      <c r="R137" t="s">
        <v>34</v>
      </c>
      <c r="S137" t="s">
        <v>35</v>
      </c>
      <c r="T137" t="s">
        <v>35</v>
      </c>
      <c r="U137" t="s">
        <v>34</v>
      </c>
      <c r="V137" t="str">
        <f>""</f>
        <v/>
      </c>
      <c r="W137">
        <v>20141230</v>
      </c>
      <c r="X137" t="s">
        <v>155</v>
      </c>
      <c r="Y137" t="s">
        <v>156</v>
      </c>
      <c r="Z137" t="s">
        <v>156</v>
      </c>
      <c r="AA137">
        <v>0</v>
      </c>
      <c r="AB137" t="s">
        <v>152</v>
      </c>
      <c r="AC137" t="s">
        <v>143</v>
      </c>
      <c r="AD137" t="s">
        <v>144</v>
      </c>
      <c r="AE137" t="str">
        <f t="shared" si="38"/>
        <v>12</v>
      </c>
      <c r="AF137" t="s">
        <v>40</v>
      </c>
    </row>
    <row r="138" spans="1:32" x14ac:dyDescent="0.25">
      <c r="A138">
        <v>5</v>
      </c>
      <c r="B138">
        <v>429</v>
      </c>
      <c r="C138" t="str">
        <f>"71"</f>
        <v>71</v>
      </c>
      <c r="D138">
        <v>6521</v>
      </c>
      <c r="E138" t="str">
        <f t="shared" si="32"/>
        <v>00</v>
      </c>
      <c r="F138" t="str">
        <f>"999"</f>
        <v>999</v>
      </c>
      <c r="G138">
        <v>5</v>
      </c>
      <c r="H138" t="str">
        <f>"99"</f>
        <v>99</v>
      </c>
      <c r="I138" t="str">
        <f t="shared" si="37"/>
        <v>0</v>
      </c>
      <c r="J138" t="str">
        <f>"02"</f>
        <v>02</v>
      </c>
      <c r="K138">
        <v>20141201</v>
      </c>
      <c r="L138" t="str">
        <f>"002657"</f>
        <v>002657</v>
      </c>
      <c r="M138" t="str">
        <f>"00049"</f>
        <v>00049</v>
      </c>
      <c r="N138" t="s">
        <v>149</v>
      </c>
      <c r="O138" s="1">
        <v>1774.9</v>
      </c>
      <c r="Q138" t="s">
        <v>33</v>
      </c>
      <c r="R138" t="s">
        <v>34</v>
      </c>
      <c r="S138" t="s">
        <v>35</v>
      </c>
      <c r="T138" t="s">
        <v>35</v>
      </c>
      <c r="U138" t="s">
        <v>34</v>
      </c>
      <c r="V138" t="str">
        <f>""</f>
        <v/>
      </c>
      <c r="W138">
        <v>20141230</v>
      </c>
      <c r="X138" t="s">
        <v>157</v>
      </c>
      <c r="Y138" t="s">
        <v>158</v>
      </c>
      <c r="Z138" t="s">
        <v>158</v>
      </c>
      <c r="AA138">
        <v>0</v>
      </c>
      <c r="AB138" t="s">
        <v>152</v>
      </c>
      <c r="AC138" t="s">
        <v>143</v>
      </c>
      <c r="AD138" t="s">
        <v>144</v>
      </c>
      <c r="AE138" t="str">
        <f t="shared" si="38"/>
        <v>12</v>
      </c>
      <c r="AF138" t="s">
        <v>40</v>
      </c>
    </row>
    <row r="139" spans="1:32" x14ac:dyDescent="0.25">
      <c r="A139">
        <v>5</v>
      </c>
      <c r="B139">
        <v>420</v>
      </c>
      <c r="C139" t="str">
        <f>"41"</f>
        <v>41</v>
      </c>
      <c r="D139">
        <v>6499</v>
      </c>
      <c r="E139" t="str">
        <f t="shared" si="32"/>
        <v>00</v>
      </c>
      <c r="F139" t="str">
        <f>"750"</f>
        <v>750</v>
      </c>
      <c r="G139">
        <v>5</v>
      </c>
      <c r="H139" t="str">
        <f>"99"</f>
        <v>99</v>
      </c>
      <c r="I139" t="str">
        <f t="shared" si="37"/>
        <v>0</v>
      </c>
      <c r="J139" t="str">
        <f>"00"</f>
        <v>00</v>
      </c>
      <c r="K139">
        <v>20141201</v>
      </c>
      <c r="L139" t="str">
        <f>"002658"</f>
        <v>002658</v>
      </c>
      <c r="M139" t="str">
        <f>"00673"</f>
        <v>00673</v>
      </c>
      <c r="N139" t="s">
        <v>159</v>
      </c>
      <c r="O139">
        <v>13</v>
      </c>
      <c r="Q139" t="s">
        <v>33</v>
      </c>
      <c r="R139" t="s">
        <v>34</v>
      </c>
      <c r="S139" t="s">
        <v>35</v>
      </c>
      <c r="T139" t="s">
        <v>35</v>
      </c>
      <c r="U139" t="s">
        <v>34</v>
      </c>
      <c r="V139" t="str">
        <f>""</f>
        <v/>
      </c>
      <c r="W139">
        <v>20141230</v>
      </c>
      <c r="X139" t="s">
        <v>168</v>
      </c>
      <c r="Y139" t="s">
        <v>171</v>
      </c>
      <c r="Z139" t="s">
        <v>171</v>
      </c>
      <c r="AA139">
        <v>0</v>
      </c>
      <c r="AB139" t="s">
        <v>142</v>
      </c>
      <c r="AC139" t="s">
        <v>170</v>
      </c>
      <c r="AD139" t="s">
        <v>144</v>
      </c>
      <c r="AE139" t="str">
        <f t="shared" si="38"/>
        <v>12</v>
      </c>
      <c r="AF139" t="s">
        <v>40</v>
      </c>
    </row>
    <row r="140" spans="1:32" x14ac:dyDescent="0.25">
      <c r="A140">
        <v>5</v>
      </c>
      <c r="B140">
        <v>429</v>
      </c>
      <c r="C140" t="str">
        <f>"71"</f>
        <v>71</v>
      </c>
      <c r="D140">
        <v>6521</v>
      </c>
      <c r="E140" t="str">
        <f t="shared" si="32"/>
        <v>00</v>
      </c>
      <c r="F140" t="str">
        <f>"999"</f>
        <v>999</v>
      </c>
      <c r="G140">
        <v>5</v>
      </c>
      <c r="H140" t="str">
        <f>"99"</f>
        <v>99</v>
      </c>
      <c r="I140" t="str">
        <f t="shared" si="37"/>
        <v>0</v>
      </c>
      <c r="J140" t="str">
        <f>"03"</f>
        <v>03</v>
      </c>
      <c r="K140">
        <v>20141201</v>
      </c>
      <c r="L140" t="str">
        <f>"002658"</f>
        <v>002658</v>
      </c>
      <c r="M140" t="str">
        <f>"00673"</f>
        <v>00673</v>
      </c>
      <c r="N140" t="s">
        <v>159</v>
      </c>
      <c r="O140" s="1">
        <v>6485.64</v>
      </c>
      <c r="Q140" t="s">
        <v>33</v>
      </c>
      <c r="R140" t="s">
        <v>34</v>
      </c>
      <c r="S140" t="s">
        <v>35</v>
      </c>
      <c r="T140" t="s">
        <v>35</v>
      </c>
      <c r="U140" t="s">
        <v>34</v>
      </c>
      <c r="V140" t="str">
        <f>""</f>
        <v/>
      </c>
      <c r="W140">
        <v>20141230</v>
      </c>
      <c r="X140" t="s">
        <v>160</v>
      </c>
      <c r="Y140" t="s">
        <v>161</v>
      </c>
      <c r="Z140" t="s">
        <v>161</v>
      </c>
      <c r="AA140">
        <v>0</v>
      </c>
      <c r="AB140" t="s">
        <v>152</v>
      </c>
      <c r="AC140" t="s">
        <v>143</v>
      </c>
      <c r="AD140" t="s">
        <v>144</v>
      </c>
      <c r="AE140" t="str">
        <f t="shared" si="38"/>
        <v>12</v>
      </c>
      <c r="AF140" t="s">
        <v>40</v>
      </c>
    </row>
    <row r="141" spans="1:32" x14ac:dyDescent="0.25">
      <c r="A141">
        <v>5</v>
      </c>
      <c r="B141">
        <v>429</v>
      </c>
      <c r="C141" t="str">
        <f>"71"</f>
        <v>71</v>
      </c>
      <c r="D141">
        <v>6521</v>
      </c>
      <c r="E141" t="str">
        <f t="shared" ref="E141:E172" si="39">"00"</f>
        <v>00</v>
      </c>
      <c r="F141" t="str">
        <f>"999"</f>
        <v>999</v>
      </c>
      <c r="G141">
        <v>5</v>
      </c>
      <c r="H141" t="str">
        <f>"99"</f>
        <v>99</v>
      </c>
      <c r="I141" t="str">
        <f t="shared" si="37"/>
        <v>0</v>
      </c>
      <c r="J141" t="str">
        <f>"04"</f>
        <v>04</v>
      </c>
      <c r="K141">
        <v>20141201</v>
      </c>
      <c r="L141" t="str">
        <f>"002658"</f>
        <v>002658</v>
      </c>
      <c r="M141" t="str">
        <f>"00673"</f>
        <v>00673</v>
      </c>
      <c r="N141" t="s">
        <v>159</v>
      </c>
      <c r="O141" s="1">
        <v>9916.67</v>
      </c>
      <c r="Q141" t="s">
        <v>33</v>
      </c>
      <c r="R141" t="s">
        <v>34</v>
      </c>
      <c r="S141" t="s">
        <v>35</v>
      </c>
      <c r="T141" t="s">
        <v>35</v>
      </c>
      <c r="U141" t="s">
        <v>34</v>
      </c>
      <c r="V141" t="str">
        <f>""</f>
        <v/>
      </c>
      <c r="W141">
        <v>20141230</v>
      </c>
      <c r="X141" t="s">
        <v>162</v>
      </c>
      <c r="Y141" t="s">
        <v>163</v>
      </c>
      <c r="Z141" t="s">
        <v>163</v>
      </c>
      <c r="AA141">
        <v>0</v>
      </c>
      <c r="AB141" t="s">
        <v>152</v>
      </c>
      <c r="AC141" t="s">
        <v>143</v>
      </c>
      <c r="AD141" t="s">
        <v>144</v>
      </c>
      <c r="AE141" t="str">
        <f t="shared" si="38"/>
        <v>12</v>
      </c>
      <c r="AF141" t="s">
        <v>40</v>
      </c>
    </row>
    <row r="142" spans="1:32" x14ac:dyDescent="0.25">
      <c r="A142">
        <v>5</v>
      </c>
      <c r="B142">
        <v>420</v>
      </c>
      <c r="C142" t="str">
        <f>"11"</f>
        <v>11</v>
      </c>
      <c r="D142">
        <v>6219</v>
      </c>
      <c r="E142" t="str">
        <f t="shared" si="39"/>
        <v>00</v>
      </c>
      <c r="F142" t="str">
        <f>"101"</f>
        <v>101</v>
      </c>
      <c r="G142">
        <v>5</v>
      </c>
      <c r="H142" t="str">
        <f>"11"</f>
        <v>11</v>
      </c>
      <c r="I142" t="str">
        <f t="shared" si="37"/>
        <v>0</v>
      </c>
      <c r="J142" t="str">
        <f>"00"</f>
        <v>00</v>
      </c>
      <c r="K142">
        <v>20141202</v>
      </c>
      <c r="L142" t="str">
        <f>"002659"</f>
        <v>002659</v>
      </c>
      <c r="M142" t="str">
        <f>"00686"</f>
        <v>00686</v>
      </c>
      <c r="N142" t="s">
        <v>146</v>
      </c>
      <c r="O142">
        <v>771.48</v>
      </c>
      <c r="Q142" t="s">
        <v>33</v>
      </c>
      <c r="R142" t="s">
        <v>34</v>
      </c>
      <c r="S142" t="s">
        <v>35</v>
      </c>
      <c r="T142" t="s">
        <v>35</v>
      </c>
      <c r="U142" t="s">
        <v>34</v>
      </c>
      <c r="V142" t="str">
        <f>""</f>
        <v/>
      </c>
      <c r="W142">
        <v>20141230</v>
      </c>
      <c r="X142" t="s">
        <v>147</v>
      </c>
      <c r="Y142" t="s">
        <v>148</v>
      </c>
      <c r="Z142" t="s">
        <v>148</v>
      </c>
      <c r="AA142">
        <v>0</v>
      </c>
      <c r="AB142" t="s">
        <v>142</v>
      </c>
      <c r="AC142" t="s">
        <v>41</v>
      </c>
      <c r="AD142" t="s">
        <v>144</v>
      </c>
      <c r="AE142" t="str">
        <f t="shared" si="38"/>
        <v>12</v>
      </c>
      <c r="AF142" t="s">
        <v>40</v>
      </c>
    </row>
    <row r="143" spans="1:32" x14ac:dyDescent="0.25">
      <c r="A143">
        <v>5</v>
      </c>
      <c r="B143">
        <v>420</v>
      </c>
      <c r="C143" t="str">
        <f>"34"</f>
        <v>34</v>
      </c>
      <c r="D143">
        <v>6219</v>
      </c>
      <c r="E143" t="str">
        <f t="shared" si="39"/>
        <v>00</v>
      </c>
      <c r="F143" t="str">
        <f>"999"</f>
        <v>999</v>
      </c>
      <c r="G143">
        <v>5</v>
      </c>
      <c r="H143" t="str">
        <f>"99"</f>
        <v>99</v>
      </c>
      <c r="I143" t="str">
        <f t="shared" si="37"/>
        <v>0</v>
      </c>
      <c r="J143" t="str">
        <f>"00"</f>
        <v>00</v>
      </c>
      <c r="K143">
        <v>20141219</v>
      </c>
      <c r="L143" t="str">
        <f>"002660"</f>
        <v>002660</v>
      </c>
      <c r="M143" t="str">
        <f>"00516"</f>
        <v>00516</v>
      </c>
      <c r="N143" t="s">
        <v>139</v>
      </c>
      <c r="O143" s="1">
        <v>2095</v>
      </c>
      <c r="Q143" t="s">
        <v>33</v>
      </c>
      <c r="R143" t="s">
        <v>34</v>
      </c>
      <c r="S143" t="s">
        <v>35</v>
      </c>
      <c r="T143" t="s">
        <v>35</v>
      </c>
      <c r="U143" t="s">
        <v>34</v>
      </c>
      <c r="V143" t="str">
        <f>""</f>
        <v/>
      </c>
      <c r="W143">
        <v>20141230</v>
      </c>
      <c r="X143" t="s">
        <v>140</v>
      </c>
      <c r="Y143" t="s">
        <v>179</v>
      </c>
      <c r="Z143" t="s">
        <v>179</v>
      </c>
      <c r="AA143">
        <v>0</v>
      </c>
      <c r="AB143" t="s">
        <v>142</v>
      </c>
      <c r="AC143" t="s">
        <v>143</v>
      </c>
      <c r="AD143" t="s">
        <v>144</v>
      </c>
      <c r="AE143" t="str">
        <f t="shared" si="38"/>
        <v>12</v>
      </c>
      <c r="AF143" t="s">
        <v>40</v>
      </c>
    </row>
    <row r="144" spans="1:32" x14ac:dyDescent="0.25">
      <c r="A144">
        <v>5</v>
      </c>
      <c r="B144">
        <v>420</v>
      </c>
      <c r="C144" t="str">
        <f>"34"</f>
        <v>34</v>
      </c>
      <c r="D144">
        <v>6219</v>
      </c>
      <c r="E144" t="str">
        <f t="shared" si="39"/>
        <v>00</v>
      </c>
      <c r="F144" t="str">
        <f>"999"</f>
        <v>999</v>
      </c>
      <c r="G144">
        <v>5</v>
      </c>
      <c r="H144" t="str">
        <f>"99"</f>
        <v>99</v>
      </c>
      <c r="I144" t="str">
        <f t="shared" si="37"/>
        <v>0</v>
      </c>
      <c r="J144" t="str">
        <f>"00"</f>
        <v>00</v>
      </c>
      <c r="K144">
        <v>20141219</v>
      </c>
      <c r="L144" t="str">
        <f>"002661"</f>
        <v>002661</v>
      </c>
      <c r="M144" t="str">
        <f>"00782"</f>
        <v>00782</v>
      </c>
      <c r="N144" t="s">
        <v>145</v>
      </c>
      <c r="O144" s="1">
        <v>1460</v>
      </c>
      <c r="Q144" t="s">
        <v>33</v>
      </c>
      <c r="R144" t="s">
        <v>34</v>
      </c>
      <c r="S144" t="s">
        <v>35</v>
      </c>
      <c r="T144" t="s">
        <v>35</v>
      </c>
      <c r="U144" t="s">
        <v>34</v>
      </c>
      <c r="V144" t="str">
        <f>""</f>
        <v/>
      </c>
      <c r="W144">
        <v>20141230</v>
      </c>
      <c r="X144" t="s">
        <v>140</v>
      </c>
      <c r="Y144" t="s">
        <v>179</v>
      </c>
      <c r="Z144" t="s">
        <v>179</v>
      </c>
      <c r="AA144">
        <v>0</v>
      </c>
      <c r="AB144" t="s">
        <v>142</v>
      </c>
      <c r="AC144" t="s">
        <v>143</v>
      </c>
      <c r="AD144" t="s">
        <v>144</v>
      </c>
      <c r="AE144" t="str">
        <f t="shared" si="38"/>
        <v>12</v>
      </c>
      <c r="AF144" t="s">
        <v>40</v>
      </c>
    </row>
    <row r="145" spans="1:32" x14ac:dyDescent="0.25">
      <c r="A145">
        <v>5</v>
      </c>
      <c r="B145">
        <v>211</v>
      </c>
      <c r="C145" t="str">
        <f>"11"</f>
        <v>11</v>
      </c>
      <c r="D145">
        <v>6219</v>
      </c>
      <c r="E145" t="str">
        <f t="shared" si="39"/>
        <v>00</v>
      </c>
      <c r="F145" t="str">
        <f>"101"</f>
        <v>101</v>
      </c>
      <c r="G145">
        <v>5</v>
      </c>
      <c r="H145" t="str">
        <f>"30"</f>
        <v>30</v>
      </c>
      <c r="I145" t="str">
        <f t="shared" si="37"/>
        <v>0</v>
      </c>
      <c r="J145" t="str">
        <f>"00"</f>
        <v>00</v>
      </c>
      <c r="K145">
        <v>20141222</v>
      </c>
      <c r="L145" t="str">
        <f>"002662"</f>
        <v>002662</v>
      </c>
      <c r="M145" t="str">
        <f>"00523"</f>
        <v>00523</v>
      </c>
      <c r="N145" t="s">
        <v>176</v>
      </c>
      <c r="O145" s="1">
        <v>1950</v>
      </c>
      <c r="Q145" t="s">
        <v>33</v>
      </c>
      <c r="R145" t="s">
        <v>34</v>
      </c>
      <c r="S145" t="s">
        <v>35</v>
      </c>
      <c r="T145" t="s">
        <v>35</v>
      </c>
      <c r="U145" t="s">
        <v>34</v>
      </c>
      <c r="V145" t="str">
        <f>""</f>
        <v/>
      </c>
      <c r="W145">
        <v>20141230</v>
      </c>
      <c r="X145" t="s">
        <v>181</v>
      </c>
      <c r="Y145" t="s">
        <v>141</v>
      </c>
      <c r="Z145" t="s">
        <v>141</v>
      </c>
      <c r="AA145">
        <v>0</v>
      </c>
      <c r="AB145" t="s">
        <v>174</v>
      </c>
      <c r="AC145" t="s">
        <v>41</v>
      </c>
      <c r="AD145" t="s">
        <v>144</v>
      </c>
      <c r="AE145" t="str">
        <f t="shared" si="38"/>
        <v>12</v>
      </c>
      <c r="AF145" t="s">
        <v>40</v>
      </c>
    </row>
    <row r="146" spans="1:32" x14ac:dyDescent="0.25">
      <c r="A146">
        <v>5</v>
      </c>
      <c r="B146">
        <v>429</v>
      </c>
      <c r="C146" t="str">
        <f>"71"</f>
        <v>71</v>
      </c>
      <c r="D146">
        <v>6521</v>
      </c>
      <c r="E146" t="str">
        <f t="shared" si="39"/>
        <v>00</v>
      </c>
      <c r="F146" t="str">
        <f>"999"</f>
        <v>999</v>
      </c>
      <c r="G146">
        <v>5</v>
      </c>
      <c r="H146" t="str">
        <f>"98"</f>
        <v>98</v>
      </c>
      <c r="I146" t="str">
        <f t="shared" si="37"/>
        <v>0</v>
      </c>
      <c r="J146" t="str">
        <f>"00"</f>
        <v>00</v>
      </c>
      <c r="K146">
        <v>20150105</v>
      </c>
      <c r="L146" t="str">
        <f>"002664"</f>
        <v>002664</v>
      </c>
      <c r="M146" t="str">
        <f>"00049"</f>
        <v>00049</v>
      </c>
      <c r="N146" t="s">
        <v>149</v>
      </c>
      <c r="O146" s="1">
        <v>12784.83</v>
      </c>
      <c r="Q146" t="s">
        <v>33</v>
      </c>
      <c r="R146" t="s">
        <v>34</v>
      </c>
      <c r="S146" t="s">
        <v>35</v>
      </c>
      <c r="T146" t="s">
        <v>35</v>
      </c>
      <c r="U146" t="s">
        <v>34</v>
      </c>
      <c r="V146" t="str">
        <f>""</f>
        <v/>
      </c>
      <c r="W146">
        <v>20150129</v>
      </c>
      <c r="X146" t="s">
        <v>150</v>
      </c>
      <c r="Y146" t="s">
        <v>151</v>
      </c>
      <c r="Z146" t="s">
        <v>151</v>
      </c>
      <c r="AA146">
        <v>0</v>
      </c>
      <c r="AB146" t="s">
        <v>152</v>
      </c>
      <c r="AC146" t="s">
        <v>143</v>
      </c>
      <c r="AD146" t="s">
        <v>144</v>
      </c>
      <c r="AE146" t="str">
        <f t="shared" ref="AE146:AE154" si="40">"01"</f>
        <v>01</v>
      </c>
      <c r="AF146" t="s">
        <v>40</v>
      </c>
    </row>
    <row r="147" spans="1:32" x14ac:dyDescent="0.25">
      <c r="A147">
        <v>5</v>
      </c>
      <c r="B147">
        <v>429</v>
      </c>
      <c r="C147" t="str">
        <f>"71"</f>
        <v>71</v>
      </c>
      <c r="D147">
        <v>6521</v>
      </c>
      <c r="E147" t="str">
        <f t="shared" si="39"/>
        <v>00</v>
      </c>
      <c r="F147" t="str">
        <f>"999"</f>
        <v>999</v>
      </c>
      <c r="G147">
        <v>5</v>
      </c>
      <c r="H147" t="str">
        <f>"98"</f>
        <v>98</v>
      </c>
      <c r="I147" t="str">
        <f t="shared" si="37"/>
        <v>0</v>
      </c>
      <c r="J147" t="str">
        <f>"01"</f>
        <v>01</v>
      </c>
      <c r="K147">
        <v>20150105</v>
      </c>
      <c r="L147" t="str">
        <f>"002664"</f>
        <v>002664</v>
      </c>
      <c r="M147" t="str">
        <f>"00049"</f>
        <v>00049</v>
      </c>
      <c r="N147" t="s">
        <v>149</v>
      </c>
      <c r="O147" s="1">
        <v>3962.57</v>
      </c>
      <c r="Q147" t="s">
        <v>33</v>
      </c>
      <c r="R147" t="s">
        <v>34</v>
      </c>
      <c r="S147" t="s">
        <v>35</v>
      </c>
      <c r="T147" t="s">
        <v>35</v>
      </c>
      <c r="U147" t="s">
        <v>34</v>
      </c>
      <c r="V147" t="str">
        <f>""</f>
        <v/>
      </c>
      <c r="W147">
        <v>20150129</v>
      </c>
      <c r="X147" t="s">
        <v>153</v>
      </c>
      <c r="Y147" t="s">
        <v>154</v>
      </c>
      <c r="Z147" t="s">
        <v>154</v>
      </c>
      <c r="AA147">
        <v>0</v>
      </c>
      <c r="AB147" t="s">
        <v>152</v>
      </c>
      <c r="AC147" t="s">
        <v>143</v>
      </c>
      <c r="AD147" t="s">
        <v>144</v>
      </c>
      <c r="AE147" t="str">
        <f t="shared" si="40"/>
        <v>01</v>
      </c>
      <c r="AF147" t="s">
        <v>40</v>
      </c>
    </row>
    <row r="148" spans="1:32" x14ac:dyDescent="0.25">
      <c r="A148">
        <v>5</v>
      </c>
      <c r="B148">
        <v>429</v>
      </c>
      <c r="C148" t="str">
        <f>"71"</f>
        <v>71</v>
      </c>
      <c r="D148">
        <v>6521</v>
      </c>
      <c r="E148" t="str">
        <f t="shared" si="39"/>
        <v>00</v>
      </c>
      <c r="F148" t="str">
        <f>"999"</f>
        <v>999</v>
      </c>
      <c r="G148">
        <v>5</v>
      </c>
      <c r="H148" t="str">
        <f>"99"</f>
        <v>99</v>
      </c>
      <c r="I148" t="str">
        <f t="shared" si="37"/>
        <v>0</v>
      </c>
      <c r="J148" t="str">
        <f>"00"</f>
        <v>00</v>
      </c>
      <c r="K148">
        <v>20150105</v>
      </c>
      <c r="L148" t="str">
        <f>"002664"</f>
        <v>002664</v>
      </c>
      <c r="M148" t="str">
        <f>"00049"</f>
        <v>00049</v>
      </c>
      <c r="N148" t="s">
        <v>149</v>
      </c>
      <c r="O148">
        <v>265.8</v>
      </c>
      <c r="Q148" t="s">
        <v>33</v>
      </c>
      <c r="R148" t="s">
        <v>34</v>
      </c>
      <c r="S148" t="s">
        <v>35</v>
      </c>
      <c r="T148" t="s">
        <v>35</v>
      </c>
      <c r="U148" t="s">
        <v>34</v>
      </c>
      <c r="V148" t="str">
        <f>""</f>
        <v/>
      </c>
      <c r="W148">
        <v>20150129</v>
      </c>
      <c r="X148" t="s">
        <v>155</v>
      </c>
      <c r="Y148" t="s">
        <v>156</v>
      </c>
      <c r="Z148" t="s">
        <v>156</v>
      </c>
      <c r="AA148">
        <v>0</v>
      </c>
      <c r="AB148" t="s">
        <v>152</v>
      </c>
      <c r="AC148" t="s">
        <v>143</v>
      </c>
      <c r="AD148" t="s">
        <v>144</v>
      </c>
      <c r="AE148" t="str">
        <f t="shared" si="40"/>
        <v>01</v>
      </c>
      <c r="AF148" t="s">
        <v>40</v>
      </c>
    </row>
    <row r="149" spans="1:32" x14ac:dyDescent="0.25">
      <c r="A149">
        <v>5</v>
      </c>
      <c r="B149">
        <v>429</v>
      </c>
      <c r="C149" t="str">
        <f>"71"</f>
        <v>71</v>
      </c>
      <c r="D149">
        <v>6521</v>
      </c>
      <c r="E149" t="str">
        <f t="shared" si="39"/>
        <v>00</v>
      </c>
      <c r="F149" t="str">
        <f>"999"</f>
        <v>999</v>
      </c>
      <c r="G149">
        <v>5</v>
      </c>
      <c r="H149" t="str">
        <f>"99"</f>
        <v>99</v>
      </c>
      <c r="I149" t="str">
        <f t="shared" si="37"/>
        <v>0</v>
      </c>
      <c r="J149" t="str">
        <f>"02"</f>
        <v>02</v>
      </c>
      <c r="K149">
        <v>20150105</v>
      </c>
      <c r="L149" t="str">
        <f>"002664"</f>
        <v>002664</v>
      </c>
      <c r="M149" t="str">
        <f>"00049"</f>
        <v>00049</v>
      </c>
      <c r="N149" t="s">
        <v>149</v>
      </c>
      <c r="O149" s="1">
        <v>1774.9</v>
      </c>
      <c r="Q149" t="s">
        <v>33</v>
      </c>
      <c r="R149" t="s">
        <v>34</v>
      </c>
      <c r="S149" t="s">
        <v>35</v>
      </c>
      <c r="T149" t="s">
        <v>35</v>
      </c>
      <c r="U149" t="s">
        <v>34</v>
      </c>
      <c r="V149" t="str">
        <f>""</f>
        <v/>
      </c>
      <c r="W149">
        <v>20150129</v>
      </c>
      <c r="X149" t="s">
        <v>157</v>
      </c>
      <c r="Y149" t="s">
        <v>158</v>
      </c>
      <c r="Z149" t="s">
        <v>158</v>
      </c>
      <c r="AA149">
        <v>0</v>
      </c>
      <c r="AB149" t="s">
        <v>152</v>
      </c>
      <c r="AC149" t="s">
        <v>143</v>
      </c>
      <c r="AD149" t="s">
        <v>144</v>
      </c>
      <c r="AE149" t="str">
        <f t="shared" si="40"/>
        <v>01</v>
      </c>
      <c r="AF149" t="s">
        <v>40</v>
      </c>
    </row>
    <row r="150" spans="1:32" x14ac:dyDescent="0.25">
      <c r="A150">
        <v>5</v>
      </c>
      <c r="B150">
        <v>420</v>
      </c>
      <c r="C150" t="str">
        <f>"41"</f>
        <v>41</v>
      </c>
      <c r="D150">
        <v>6499</v>
      </c>
      <c r="E150" t="str">
        <f t="shared" si="39"/>
        <v>00</v>
      </c>
      <c r="F150" t="str">
        <f>"750"</f>
        <v>750</v>
      </c>
      <c r="G150">
        <v>5</v>
      </c>
      <c r="H150" t="str">
        <f>"99"</f>
        <v>99</v>
      </c>
      <c r="I150" t="str">
        <f t="shared" si="37"/>
        <v>0</v>
      </c>
      <c r="J150" t="str">
        <f>"00"</f>
        <v>00</v>
      </c>
      <c r="K150">
        <v>20150105</v>
      </c>
      <c r="L150" t="str">
        <f>"002665"</f>
        <v>002665</v>
      </c>
      <c r="M150" t="str">
        <f>"00673"</f>
        <v>00673</v>
      </c>
      <c r="N150" t="s">
        <v>159</v>
      </c>
      <c r="O150">
        <v>13</v>
      </c>
      <c r="Q150" t="s">
        <v>33</v>
      </c>
      <c r="R150" t="s">
        <v>34</v>
      </c>
      <c r="S150" t="s">
        <v>35</v>
      </c>
      <c r="T150" t="s">
        <v>35</v>
      </c>
      <c r="U150" t="s">
        <v>34</v>
      </c>
      <c r="V150" t="str">
        <f>""</f>
        <v/>
      </c>
      <c r="W150">
        <v>20150129</v>
      </c>
      <c r="X150" t="s">
        <v>168</v>
      </c>
      <c r="Y150" t="s">
        <v>171</v>
      </c>
      <c r="Z150" t="s">
        <v>171</v>
      </c>
      <c r="AA150">
        <v>0</v>
      </c>
      <c r="AB150" t="s">
        <v>142</v>
      </c>
      <c r="AC150" t="s">
        <v>170</v>
      </c>
      <c r="AD150" t="s">
        <v>144</v>
      </c>
      <c r="AE150" t="str">
        <f t="shared" si="40"/>
        <v>01</v>
      </c>
      <c r="AF150" t="s">
        <v>40</v>
      </c>
    </row>
    <row r="151" spans="1:32" x14ac:dyDescent="0.25">
      <c r="A151">
        <v>5</v>
      </c>
      <c r="B151">
        <v>429</v>
      </c>
      <c r="C151" t="str">
        <f>"71"</f>
        <v>71</v>
      </c>
      <c r="D151">
        <v>6521</v>
      </c>
      <c r="E151" t="str">
        <f t="shared" si="39"/>
        <v>00</v>
      </c>
      <c r="F151" t="str">
        <f>"999"</f>
        <v>999</v>
      </c>
      <c r="G151">
        <v>5</v>
      </c>
      <c r="H151" t="str">
        <f>"99"</f>
        <v>99</v>
      </c>
      <c r="I151" t="str">
        <f t="shared" si="37"/>
        <v>0</v>
      </c>
      <c r="J151" t="str">
        <f>"03"</f>
        <v>03</v>
      </c>
      <c r="K151">
        <v>20150105</v>
      </c>
      <c r="L151" t="str">
        <f>"002665"</f>
        <v>002665</v>
      </c>
      <c r="M151" t="str">
        <f>"00673"</f>
        <v>00673</v>
      </c>
      <c r="N151" t="s">
        <v>159</v>
      </c>
      <c r="O151" s="1">
        <v>6485.64</v>
      </c>
      <c r="Q151" t="s">
        <v>33</v>
      </c>
      <c r="R151" t="s">
        <v>34</v>
      </c>
      <c r="S151" t="s">
        <v>35</v>
      </c>
      <c r="T151" t="s">
        <v>35</v>
      </c>
      <c r="U151" t="s">
        <v>34</v>
      </c>
      <c r="V151" t="str">
        <f>""</f>
        <v/>
      </c>
      <c r="W151">
        <v>20150129</v>
      </c>
      <c r="X151" t="s">
        <v>160</v>
      </c>
      <c r="Y151" t="s">
        <v>161</v>
      </c>
      <c r="Z151" t="s">
        <v>161</v>
      </c>
      <c r="AA151">
        <v>0</v>
      </c>
      <c r="AB151" t="s">
        <v>152</v>
      </c>
      <c r="AC151" t="s">
        <v>143</v>
      </c>
      <c r="AD151" t="s">
        <v>144</v>
      </c>
      <c r="AE151" t="str">
        <f t="shared" si="40"/>
        <v>01</v>
      </c>
      <c r="AF151" t="s">
        <v>40</v>
      </c>
    </row>
    <row r="152" spans="1:32" x14ac:dyDescent="0.25">
      <c r="A152">
        <v>5</v>
      </c>
      <c r="B152">
        <v>429</v>
      </c>
      <c r="C152" t="str">
        <f>"71"</f>
        <v>71</v>
      </c>
      <c r="D152">
        <v>6521</v>
      </c>
      <c r="E152" t="str">
        <f t="shared" si="39"/>
        <v>00</v>
      </c>
      <c r="F152" t="str">
        <f>"999"</f>
        <v>999</v>
      </c>
      <c r="G152">
        <v>5</v>
      </c>
      <c r="H152" t="str">
        <f>"99"</f>
        <v>99</v>
      </c>
      <c r="I152" t="str">
        <f t="shared" si="37"/>
        <v>0</v>
      </c>
      <c r="J152" t="str">
        <f>"04"</f>
        <v>04</v>
      </c>
      <c r="K152">
        <v>20150105</v>
      </c>
      <c r="L152" t="str">
        <f>"002665"</f>
        <v>002665</v>
      </c>
      <c r="M152" t="str">
        <f>"00673"</f>
        <v>00673</v>
      </c>
      <c r="N152" t="s">
        <v>159</v>
      </c>
      <c r="O152" s="1">
        <v>9916.67</v>
      </c>
      <c r="Q152" t="s">
        <v>33</v>
      </c>
      <c r="R152" t="s">
        <v>34</v>
      </c>
      <c r="S152" t="s">
        <v>35</v>
      </c>
      <c r="T152" t="s">
        <v>35</v>
      </c>
      <c r="U152" t="s">
        <v>34</v>
      </c>
      <c r="V152" t="str">
        <f>""</f>
        <v/>
      </c>
      <c r="W152">
        <v>20150129</v>
      </c>
      <c r="X152" t="s">
        <v>162</v>
      </c>
      <c r="Y152" t="s">
        <v>163</v>
      </c>
      <c r="Z152" t="s">
        <v>163</v>
      </c>
      <c r="AA152">
        <v>0</v>
      </c>
      <c r="AB152" t="s">
        <v>152</v>
      </c>
      <c r="AC152" t="s">
        <v>143</v>
      </c>
      <c r="AD152" t="s">
        <v>144</v>
      </c>
      <c r="AE152" t="str">
        <f t="shared" si="40"/>
        <v>01</v>
      </c>
      <c r="AF152" t="s">
        <v>40</v>
      </c>
    </row>
    <row r="153" spans="1:32" x14ac:dyDescent="0.25">
      <c r="A153">
        <v>5</v>
      </c>
      <c r="B153">
        <v>420</v>
      </c>
      <c r="C153" t="str">
        <f>"11"</f>
        <v>11</v>
      </c>
      <c r="D153">
        <v>6219</v>
      </c>
      <c r="E153" t="str">
        <f t="shared" si="39"/>
        <v>00</v>
      </c>
      <c r="F153" t="str">
        <f>"101"</f>
        <v>101</v>
      </c>
      <c r="G153">
        <v>5</v>
      </c>
      <c r="H153" t="str">
        <f>"11"</f>
        <v>11</v>
      </c>
      <c r="I153" t="str">
        <f t="shared" si="37"/>
        <v>0</v>
      </c>
      <c r="J153" t="str">
        <f>"00"</f>
        <v>00</v>
      </c>
      <c r="K153">
        <v>20150109</v>
      </c>
      <c r="L153" t="str">
        <f>"002666"</f>
        <v>002666</v>
      </c>
      <c r="M153" t="str">
        <f>"00686"</f>
        <v>00686</v>
      </c>
      <c r="N153" t="s">
        <v>146</v>
      </c>
      <c r="O153">
        <v>774.26</v>
      </c>
      <c r="Q153" t="s">
        <v>33</v>
      </c>
      <c r="R153" t="s">
        <v>34</v>
      </c>
      <c r="S153" t="s">
        <v>35</v>
      </c>
      <c r="T153" t="s">
        <v>35</v>
      </c>
      <c r="U153" t="s">
        <v>34</v>
      </c>
      <c r="V153" t="str">
        <f>""</f>
        <v/>
      </c>
      <c r="W153">
        <v>20150203</v>
      </c>
      <c r="X153" t="s">
        <v>147</v>
      </c>
      <c r="Y153" t="s">
        <v>148</v>
      </c>
      <c r="Z153" t="s">
        <v>148</v>
      </c>
      <c r="AA153">
        <v>0</v>
      </c>
      <c r="AB153" t="s">
        <v>142</v>
      </c>
      <c r="AC153" t="s">
        <v>41</v>
      </c>
      <c r="AD153" t="s">
        <v>144</v>
      </c>
      <c r="AE153" t="str">
        <f t="shared" si="40"/>
        <v>01</v>
      </c>
      <c r="AF153" t="s">
        <v>40</v>
      </c>
    </row>
    <row r="154" spans="1:32" x14ac:dyDescent="0.25">
      <c r="A154">
        <v>5</v>
      </c>
      <c r="B154">
        <v>420</v>
      </c>
      <c r="C154" t="str">
        <f>"34"</f>
        <v>34</v>
      </c>
      <c r="D154">
        <v>6219</v>
      </c>
      <c r="E154" t="str">
        <f t="shared" si="39"/>
        <v>00</v>
      </c>
      <c r="F154" t="str">
        <f>"999"</f>
        <v>999</v>
      </c>
      <c r="G154">
        <v>5</v>
      </c>
      <c r="H154" t="str">
        <f>"99"</f>
        <v>99</v>
      </c>
      <c r="I154" t="str">
        <f t="shared" si="37"/>
        <v>0</v>
      </c>
      <c r="J154" t="str">
        <f>"00"</f>
        <v>00</v>
      </c>
      <c r="K154">
        <v>20150123</v>
      </c>
      <c r="L154" t="str">
        <f>"002667"</f>
        <v>002667</v>
      </c>
      <c r="M154" t="str">
        <f>"00516"</f>
        <v>00516</v>
      </c>
      <c r="N154" t="s">
        <v>139</v>
      </c>
      <c r="O154" s="1">
        <v>1425</v>
      </c>
      <c r="Q154" t="s">
        <v>33</v>
      </c>
      <c r="R154" t="s">
        <v>34</v>
      </c>
      <c r="S154" t="s">
        <v>35</v>
      </c>
      <c r="T154" t="s">
        <v>35</v>
      </c>
      <c r="U154" t="s">
        <v>34</v>
      </c>
      <c r="V154" t="str">
        <f>""</f>
        <v/>
      </c>
      <c r="W154">
        <v>20150129</v>
      </c>
      <c r="X154" t="s">
        <v>140</v>
      </c>
      <c r="Y154" t="s">
        <v>179</v>
      </c>
      <c r="Z154" t="s">
        <v>179</v>
      </c>
      <c r="AA154">
        <v>0</v>
      </c>
      <c r="AB154" t="s">
        <v>142</v>
      </c>
      <c r="AC154" t="s">
        <v>143</v>
      </c>
      <c r="AD154" t="s">
        <v>144</v>
      </c>
      <c r="AE154" t="str">
        <f t="shared" si="40"/>
        <v>01</v>
      </c>
      <c r="AF154" t="s">
        <v>40</v>
      </c>
    </row>
    <row r="155" spans="1:32" x14ac:dyDescent="0.25">
      <c r="A155">
        <v>5</v>
      </c>
      <c r="B155">
        <v>429</v>
      </c>
      <c r="C155" t="str">
        <f>"71"</f>
        <v>71</v>
      </c>
      <c r="D155">
        <v>6521</v>
      </c>
      <c r="E155" t="str">
        <f t="shared" si="39"/>
        <v>00</v>
      </c>
      <c r="F155" t="str">
        <f>"999"</f>
        <v>999</v>
      </c>
      <c r="G155">
        <v>5</v>
      </c>
      <c r="H155" t="str">
        <f>"98"</f>
        <v>98</v>
      </c>
      <c r="I155" t="str">
        <f t="shared" si="37"/>
        <v>0</v>
      </c>
      <c r="J155" t="str">
        <f>"00"</f>
        <v>00</v>
      </c>
      <c r="K155">
        <v>20150203</v>
      </c>
      <c r="L155" t="str">
        <f>"002668"</f>
        <v>002668</v>
      </c>
      <c r="M155" t="str">
        <f>"00049"</f>
        <v>00049</v>
      </c>
      <c r="N155" t="s">
        <v>149</v>
      </c>
      <c r="O155" s="1">
        <v>12784.83</v>
      </c>
      <c r="Q155" t="s">
        <v>33</v>
      </c>
      <c r="R155" t="s">
        <v>34</v>
      </c>
      <c r="S155" t="s">
        <v>35</v>
      </c>
      <c r="T155" t="s">
        <v>35</v>
      </c>
      <c r="U155" t="s">
        <v>34</v>
      </c>
      <c r="V155" t="str">
        <f>""</f>
        <v/>
      </c>
      <c r="W155">
        <v>20150302</v>
      </c>
      <c r="X155" t="s">
        <v>150</v>
      </c>
      <c r="Y155" t="s">
        <v>188</v>
      </c>
      <c r="Z155" t="s">
        <v>188</v>
      </c>
      <c r="AA155">
        <v>0</v>
      </c>
      <c r="AB155" t="s">
        <v>152</v>
      </c>
      <c r="AC155" t="s">
        <v>143</v>
      </c>
      <c r="AD155" t="s">
        <v>144</v>
      </c>
      <c r="AE155" t="str">
        <f t="shared" ref="AE155:AE167" si="41">"02"</f>
        <v>02</v>
      </c>
      <c r="AF155" t="s">
        <v>40</v>
      </c>
    </row>
    <row r="156" spans="1:32" x14ac:dyDescent="0.25">
      <c r="A156">
        <v>5</v>
      </c>
      <c r="B156">
        <v>429</v>
      </c>
      <c r="C156" t="str">
        <f>"71"</f>
        <v>71</v>
      </c>
      <c r="D156">
        <v>6521</v>
      </c>
      <c r="E156" t="str">
        <f t="shared" si="39"/>
        <v>00</v>
      </c>
      <c r="F156" t="str">
        <f>"999"</f>
        <v>999</v>
      </c>
      <c r="G156">
        <v>5</v>
      </c>
      <c r="H156" t="str">
        <f>"98"</f>
        <v>98</v>
      </c>
      <c r="I156" t="str">
        <f t="shared" si="37"/>
        <v>0</v>
      </c>
      <c r="J156" t="str">
        <f>"01"</f>
        <v>01</v>
      </c>
      <c r="K156">
        <v>20150203</v>
      </c>
      <c r="L156" t="str">
        <f>"002668"</f>
        <v>002668</v>
      </c>
      <c r="M156" t="str">
        <f>"00049"</f>
        <v>00049</v>
      </c>
      <c r="N156" t="s">
        <v>149</v>
      </c>
      <c r="O156" s="1">
        <v>3962.57</v>
      </c>
      <c r="Q156" t="s">
        <v>33</v>
      </c>
      <c r="R156" t="s">
        <v>34</v>
      </c>
      <c r="S156" t="s">
        <v>35</v>
      </c>
      <c r="T156" t="s">
        <v>35</v>
      </c>
      <c r="U156" t="s">
        <v>34</v>
      </c>
      <c r="V156" t="str">
        <f>""</f>
        <v/>
      </c>
      <c r="W156">
        <v>20150302</v>
      </c>
      <c r="X156" t="s">
        <v>153</v>
      </c>
      <c r="Y156" t="s">
        <v>189</v>
      </c>
      <c r="Z156" t="s">
        <v>189</v>
      </c>
      <c r="AA156">
        <v>0</v>
      </c>
      <c r="AB156" t="s">
        <v>152</v>
      </c>
      <c r="AC156" t="s">
        <v>143</v>
      </c>
      <c r="AD156" t="s">
        <v>144</v>
      </c>
      <c r="AE156" t="str">
        <f t="shared" si="41"/>
        <v>02</v>
      </c>
      <c r="AF156" t="s">
        <v>40</v>
      </c>
    </row>
    <row r="157" spans="1:32" x14ac:dyDescent="0.25">
      <c r="A157">
        <v>5</v>
      </c>
      <c r="B157">
        <v>429</v>
      </c>
      <c r="C157" t="str">
        <f>"71"</f>
        <v>71</v>
      </c>
      <c r="D157">
        <v>6521</v>
      </c>
      <c r="E157" t="str">
        <f t="shared" si="39"/>
        <v>00</v>
      </c>
      <c r="F157" t="str">
        <f>"999"</f>
        <v>999</v>
      </c>
      <c r="G157">
        <v>5</v>
      </c>
      <c r="H157" t="str">
        <f>"99"</f>
        <v>99</v>
      </c>
      <c r="I157" t="str">
        <f t="shared" si="37"/>
        <v>0</v>
      </c>
      <c r="J157" t="str">
        <f>"00"</f>
        <v>00</v>
      </c>
      <c r="K157">
        <v>20150203</v>
      </c>
      <c r="L157" t="str">
        <f>"002668"</f>
        <v>002668</v>
      </c>
      <c r="M157" t="str">
        <f>"00049"</f>
        <v>00049</v>
      </c>
      <c r="N157" t="s">
        <v>149</v>
      </c>
      <c r="O157">
        <v>265.8</v>
      </c>
      <c r="Q157" t="s">
        <v>33</v>
      </c>
      <c r="R157" t="s">
        <v>34</v>
      </c>
      <c r="S157" t="s">
        <v>35</v>
      </c>
      <c r="T157" t="s">
        <v>35</v>
      </c>
      <c r="U157" t="s">
        <v>34</v>
      </c>
      <c r="V157" t="str">
        <f>""</f>
        <v/>
      </c>
      <c r="W157">
        <v>20150302</v>
      </c>
      <c r="X157" t="s">
        <v>155</v>
      </c>
      <c r="Y157" t="s">
        <v>190</v>
      </c>
      <c r="Z157" t="s">
        <v>190</v>
      </c>
      <c r="AA157">
        <v>0</v>
      </c>
      <c r="AB157" t="s">
        <v>152</v>
      </c>
      <c r="AC157" t="s">
        <v>143</v>
      </c>
      <c r="AD157" t="s">
        <v>144</v>
      </c>
      <c r="AE157" t="str">
        <f t="shared" si="41"/>
        <v>02</v>
      </c>
      <c r="AF157" t="s">
        <v>40</v>
      </c>
    </row>
    <row r="158" spans="1:32" x14ac:dyDescent="0.25">
      <c r="A158">
        <v>5</v>
      </c>
      <c r="B158">
        <v>429</v>
      </c>
      <c r="C158" t="str">
        <f>"71"</f>
        <v>71</v>
      </c>
      <c r="D158">
        <v>6521</v>
      </c>
      <c r="E158" t="str">
        <f t="shared" si="39"/>
        <v>00</v>
      </c>
      <c r="F158" t="str">
        <f>"999"</f>
        <v>999</v>
      </c>
      <c r="G158">
        <v>5</v>
      </c>
      <c r="H158" t="str">
        <f>"99"</f>
        <v>99</v>
      </c>
      <c r="I158" t="str">
        <f t="shared" si="37"/>
        <v>0</v>
      </c>
      <c r="J158" t="str">
        <f>"02"</f>
        <v>02</v>
      </c>
      <c r="K158">
        <v>20150203</v>
      </c>
      <c r="L158" t="str">
        <f>"002668"</f>
        <v>002668</v>
      </c>
      <c r="M158" t="str">
        <f>"00049"</f>
        <v>00049</v>
      </c>
      <c r="N158" t="s">
        <v>149</v>
      </c>
      <c r="O158" s="1">
        <v>1774.9</v>
      </c>
      <c r="Q158" t="s">
        <v>33</v>
      </c>
      <c r="R158" t="s">
        <v>34</v>
      </c>
      <c r="S158" t="s">
        <v>35</v>
      </c>
      <c r="T158" t="s">
        <v>35</v>
      </c>
      <c r="U158" t="s">
        <v>34</v>
      </c>
      <c r="V158" t="str">
        <f>""</f>
        <v/>
      </c>
      <c r="W158">
        <v>20150302</v>
      </c>
      <c r="X158" t="s">
        <v>157</v>
      </c>
      <c r="Y158" t="s">
        <v>191</v>
      </c>
      <c r="Z158" t="s">
        <v>191</v>
      </c>
      <c r="AA158">
        <v>0</v>
      </c>
      <c r="AB158" t="s">
        <v>152</v>
      </c>
      <c r="AC158" t="s">
        <v>143</v>
      </c>
      <c r="AD158" t="s">
        <v>144</v>
      </c>
      <c r="AE158" t="str">
        <f t="shared" si="41"/>
        <v>02</v>
      </c>
      <c r="AF158" t="s">
        <v>40</v>
      </c>
    </row>
    <row r="159" spans="1:32" x14ac:dyDescent="0.25">
      <c r="A159">
        <v>5</v>
      </c>
      <c r="B159">
        <v>420</v>
      </c>
      <c r="C159" t="str">
        <f>"41"</f>
        <v>41</v>
      </c>
      <c r="D159">
        <v>6499</v>
      </c>
      <c r="E159" t="str">
        <f t="shared" si="39"/>
        <v>00</v>
      </c>
      <c r="F159" t="str">
        <f>"750"</f>
        <v>750</v>
      </c>
      <c r="G159">
        <v>5</v>
      </c>
      <c r="H159" t="str">
        <f>"99"</f>
        <v>99</v>
      </c>
      <c r="I159" t="str">
        <f t="shared" si="37"/>
        <v>0</v>
      </c>
      <c r="J159" t="str">
        <f>"00"</f>
        <v>00</v>
      </c>
      <c r="K159">
        <v>20150203</v>
      </c>
      <c r="L159" t="str">
        <f>"002669"</f>
        <v>002669</v>
      </c>
      <c r="M159" t="str">
        <f>"00673"</f>
        <v>00673</v>
      </c>
      <c r="N159" t="s">
        <v>159</v>
      </c>
      <c r="O159">
        <v>13</v>
      </c>
      <c r="Q159" t="s">
        <v>33</v>
      </c>
      <c r="R159" t="s">
        <v>34</v>
      </c>
      <c r="S159" t="s">
        <v>35</v>
      </c>
      <c r="T159" t="s">
        <v>35</v>
      </c>
      <c r="U159" t="s">
        <v>34</v>
      </c>
      <c r="V159" t="str">
        <f>""</f>
        <v/>
      </c>
      <c r="W159">
        <v>20150302</v>
      </c>
      <c r="X159" t="s">
        <v>168</v>
      </c>
      <c r="Y159" t="s">
        <v>192</v>
      </c>
      <c r="Z159" t="s">
        <v>192</v>
      </c>
      <c r="AA159">
        <v>0</v>
      </c>
      <c r="AB159" t="s">
        <v>142</v>
      </c>
      <c r="AC159" t="s">
        <v>170</v>
      </c>
      <c r="AD159" t="s">
        <v>144</v>
      </c>
      <c r="AE159" t="str">
        <f t="shared" si="41"/>
        <v>02</v>
      </c>
      <c r="AF159" t="s">
        <v>40</v>
      </c>
    </row>
    <row r="160" spans="1:32" x14ac:dyDescent="0.25">
      <c r="A160">
        <v>5</v>
      </c>
      <c r="B160">
        <v>429</v>
      </c>
      <c r="C160" t="str">
        <f>"71"</f>
        <v>71</v>
      </c>
      <c r="D160">
        <v>6521</v>
      </c>
      <c r="E160" t="str">
        <f t="shared" si="39"/>
        <v>00</v>
      </c>
      <c r="F160" t="str">
        <f>"999"</f>
        <v>999</v>
      </c>
      <c r="G160">
        <v>5</v>
      </c>
      <c r="H160" t="str">
        <f>"99"</f>
        <v>99</v>
      </c>
      <c r="I160" t="str">
        <f t="shared" si="37"/>
        <v>0</v>
      </c>
      <c r="J160" t="str">
        <f>"03"</f>
        <v>03</v>
      </c>
      <c r="K160">
        <v>20150203</v>
      </c>
      <c r="L160" t="str">
        <f>"002669"</f>
        <v>002669</v>
      </c>
      <c r="M160" t="str">
        <f>"00673"</f>
        <v>00673</v>
      </c>
      <c r="N160" t="s">
        <v>159</v>
      </c>
      <c r="O160" s="1">
        <v>9916.67</v>
      </c>
      <c r="Q160" t="s">
        <v>33</v>
      </c>
      <c r="R160" t="s">
        <v>34</v>
      </c>
      <c r="S160" t="s">
        <v>35</v>
      </c>
      <c r="T160" t="s">
        <v>35</v>
      </c>
      <c r="U160" t="s">
        <v>34</v>
      </c>
      <c r="V160" t="str">
        <f>""</f>
        <v/>
      </c>
      <c r="W160">
        <v>20150302</v>
      </c>
      <c r="X160" t="s">
        <v>160</v>
      </c>
      <c r="Y160" t="s">
        <v>163</v>
      </c>
      <c r="Z160" t="s">
        <v>163</v>
      </c>
      <c r="AA160">
        <v>0</v>
      </c>
      <c r="AB160" t="s">
        <v>152</v>
      </c>
      <c r="AC160" t="s">
        <v>143</v>
      </c>
      <c r="AD160" t="s">
        <v>144</v>
      </c>
      <c r="AE160" t="str">
        <f t="shared" si="41"/>
        <v>02</v>
      </c>
      <c r="AF160" t="s">
        <v>40</v>
      </c>
    </row>
    <row r="161" spans="1:32" x14ac:dyDescent="0.25">
      <c r="A161">
        <v>5</v>
      </c>
      <c r="B161">
        <v>429</v>
      </c>
      <c r="C161" t="str">
        <f>"71"</f>
        <v>71</v>
      </c>
      <c r="D161">
        <v>6521</v>
      </c>
      <c r="E161" t="str">
        <f t="shared" si="39"/>
        <v>00</v>
      </c>
      <c r="F161" t="str">
        <f>"999"</f>
        <v>999</v>
      </c>
      <c r="G161">
        <v>5</v>
      </c>
      <c r="H161" t="str">
        <f>"99"</f>
        <v>99</v>
      </c>
      <c r="I161" t="str">
        <f t="shared" si="37"/>
        <v>0</v>
      </c>
      <c r="J161" t="str">
        <f>"04"</f>
        <v>04</v>
      </c>
      <c r="K161">
        <v>20150203</v>
      </c>
      <c r="L161" t="str">
        <f>"002669"</f>
        <v>002669</v>
      </c>
      <c r="M161" t="str">
        <f>"00673"</f>
        <v>00673</v>
      </c>
      <c r="N161" t="s">
        <v>159</v>
      </c>
      <c r="O161" s="1">
        <v>6485.64</v>
      </c>
      <c r="Q161" t="s">
        <v>33</v>
      </c>
      <c r="R161" t="s">
        <v>34</v>
      </c>
      <c r="S161" t="s">
        <v>35</v>
      </c>
      <c r="T161" t="s">
        <v>35</v>
      </c>
      <c r="U161" t="s">
        <v>34</v>
      </c>
      <c r="V161" t="str">
        <f>""</f>
        <v/>
      </c>
      <c r="W161">
        <v>20150302</v>
      </c>
      <c r="X161" t="s">
        <v>162</v>
      </c>
      <c r="Y161" t="s">
        <v>193</v>
      </c>
      <c r="Z161" t="s">
        <v>193</v>
      </c>
      <c r="AA161">
        <v>0</v>
      </c>
      <c r="AB161" t="s">
        <v>152</v>
      </c>
      <c r="AC161" t="s">
        <v>143</v>
      </c>
      <c r="AD161" t="s">
        <v>144</v>
      </c>
      <c r="AE161" t="str">
        <f t="shared" si="41"/>
        <v>02</v>
      </c>
      <c r="AF161" t="s">
        <v>40</v>
      </c>
    </row>
    <row r="162" spans="1:32" x14ac:dyDescent="0.25">
      <c r="A162">
        <v>5</v>
      </c>
      <c r="B162">
        <v>420</v>
      </c>
      <c r="C162" t="str">
        <f>"11"</f>
        <v>11</v>
      </c>
      <c r="D162">
        <v>6219</v>
      </c>
      <c r="E162" t="str">
        <f t="shared" si="39"/>
        <v>00</v>
      </c>
      <c r="F162" t="str">
        <f>"101"</f>
        <v>101</v>
      </c>
      <c r="G162">
        <v>5</v>
      </c>
      <c r="H162" t="str">
        <f>"11"</f>
        <v>11</v>
      </c>
      <c r="I162" t="str">
        <f t="shared" si="37"/>
        <v>0</v>
      </c>
      <c r="J162" t="str">
        <f t="shared" ref="J162:J168" si="42">"00"</f>
        <v>00</v>
      </c>
      <c r="K162">
        <v>20150205</v>
      </c>
      <c r="L162" t="str">
        <f>"002670"</f>
        <v>002670</v>
      </c>
      <c r="M162" t="str">
        <f>"00686"</f>
        <v>00686</v>
      </c>
      <c r="N162" t="s">
        <v>146</v>
      </c>
      <c r="O162" s="1">
        <v>1355.49</v>
      </c>
      <c r="Q162" t="s">
        <v>33</v>
      </c>
      <c r="R162" t="s">
        <v>34</v>
      </c>
      <c r="S162" t="s">
        <v>35</v>
      </c>
      <c r="T162" t="s">
        <v>35</v>
      </c>
      <c r="U162" t="s">
        <v>34</v>
      </c>
      <c r="V162" t="str">
        <f>""</f>
        <v/>
      </c>
      <c r="W162">
        <v>20150302</v>
      </c>
      <c r="X162" t="s">
        <v>147</v>
      </c>
      <c r="Y162" t="s">
        <v>194</v>
      </c>
      <c r="Z162" t="s">
        <v>194</v>
      </c>
      <c r="AA162">
        <v>0</v>
      </c>
      <c r="AB162" t="s">
        <v>142</v>
      </c>
      <c r="AC162" t="s">
        <v>41</v>
      </c>
      <c r="AD162" t="s">
        <v>144</v>
      </c>
      <c r="AE162" t="str">
        <f t="shared" si="41"/>
        <v>02</v>
      </c>
      <c r="AF162" t="s">
        <v>40</v>
      </c>
    </row>
    <row r="163" spans="1:32" x14ac:dyDescent="0.25">
      <c r="A163">
        <v>5</v>
      </c>
      <c r="B163">
        <v>420</v>
      </c>
      <c r="C163" t="str">
        <f>"11"</f>
        <v>11</v>
      </c>
      <c r="D163">
        <v>6219</v>
      </c>
      <c r="E163" t="str">
        <f t="shared" si="39"/>
        <v>00</v>
      </c>
      <c r="F163" t="str">
        <f>"001"</f>
        <v>001</v>
      </c>
      <c r="G163">
        <v>5</v>
      </c>
      <c r="H163" t="str">
        <f>"11"</f>
        <v>11</v>
      </c>
      <c r="I163" t="str">
        <f t="shared" si="37"/>
        <v>0</v>
      </c>
      <c r="J163" t="str">
        <f t="shared" si="42"/>
        <v>00</v>
      </c>
      <c r="K163">
        <v>20150219</v>
      </c>
      <c r="L163" t="str">
        <f>"002671"</f>
        <v>002671</v>
      </c>
      <c r="M163" t="str">
        <f>"00704"</f>
        <v>00704</v>
      </c>
      <c r="N163" t="s">
        <v>164</v>
      </c>
      <c r="O163">
        <v>866.66</v>
      </c>
      <c r="Q163" t="s">
        <v>33</v>
      </c>
      <c r="R163" t="s">
        <v>34</v>
      </c>
      <c r="S163" t="s">
        <v>35</v>
      </c>
      <c r="T163" t="s">
        <v>35</v>
      </c>
      <c r="U163" t="s">
        <v>34</v>
      </c>
      <c r="V163" t="str">
        <f>""</f>
        <v/>
      </c>
      <c r="W163">
        <v>20150302</v>
      </c>
      <c r="X163" t="s">
        <v>165</v>
      </c>
      <c r="Y163" t="s">
        <v>141</v>
      </c>
      <c r="Z163" t="s">
        <v>141</v>
      </c>
      <c r="AA163">
        <v>0</v>
      </c>
      <c r="AB163" t="s">
        <v>142</v>
      </c>
      <c r="AC163" t="s">
        <v>41</v>
      </c>
      <c r="AD163" t="s">
        <v>144</v>
      </c>
      <c r="AE163" t="str">
        <f t="shared" si="41"/>
        <v>02</v>
      </c>
      <c r="AF163" t="s">
        <v>40</v>
      </c>
    </row>
    <row r="164" spans="1:32" x14ac:dyDescent="0.25">
      <c r="A164">
        <v>5</v>
      </c>
      <c r="B164">
        <v>420</v>
      </c>
      <c r="C164" t="str">
        <f>"11"</f>
        <v>11</v>
      </c>
      <c r="D164">
        <v>6219</v>
      </c>
      <c r="E164" t="str">
        <f t="shared" si="39"/>
        <v>00</v>
      </c>
      <c r="F164" t="str">
        <f>"999"</f>
        <v>999</v>
      </c>
      <c r="G164">
        <v>5</v>
      </c>
      <c r="H164" t="str">
        <f>"11"</f>
        <v>11</v>
      </c>
      <c r="I164" t="str">
        <f t="shared" si="37"/>
        <v>0</v>
      </c>
      <c r="J164" t="str">
        <f t="shared" si="42"/>
        <v>00</v>
      </c>
      <c r="K164">
        <v>20150219</v>
      </c>
      <c r="L164" t="str">
        <f>"002671"</f>
        <v>002671</v>
      </c>
      <c r="M164" t="str">
        <f>"00704"</f>
        <v>00704</v>
      </c>
      <c r="N164" t="s">
        <v>164</v>
      </c>
      <c r="O164" s="1">
        <v>1402.14</v>
      </c>
      <c r="Q164" t="s">
        <v>33</v>
      </c>
      <c r="R164" t="s">
        <v>34</v>
      </c>
      <c r="S164" t="s">
        <v>35</v>
      </c>
      <c r="T164" t="s">
        <v>35</v>
      </c>
      <c r="U164" t="s">
        <v>34</v>
      </c>
      <c r="V164" t="str">
        <f>""</f>
        <v/>
      </c>
      <c r="W164">
        <v>20150302</v>
      </c>
      <c r="X164" t="s">
        <v>166</v>
      </c>
      <c r="Y164" t="s">
        <v>141</v>
      </c>
      <c r="Z164" t="s">
        <v>141</v>
      </c>
      <c r="AA164">
        <v>0</v>
      </c>
      <c r="AB164" t="s">
        <v>142</v>
      </c>
      <c r="AC164" t="s">
        <v>143</v>
      </c>
      <c r="AD164" t="s">
        <v>144</v>
      </c>
      <c r="AE164" t="str">
        <f t="shared" si="41"/>
        <v>02</v>
      </c>
      <c r="AF164" t="s">
        <v>40</v>
      </c>
    </row>
    <row r="165" spans="1:32" x14ac:dyDescent="0.25">
      <c r="A165">
        <v>5</v>
      </c>
      <c r="B165">
        <v>263</v>
      </c>
      <c r="C165" t="str">
        <f>"11"</f>
        <v>11</v>
      </c>
      <c r="D165">
        <v>6219</v>
      </c>
      <c r="E165" t="str">
        <f t="shared" si="39"/>
        <v>00</v>
      </c>
      <c r="F165" t="str">
        <f>"999"</f>
        <v>999</v>
      </c>
      <c r="G165">
        <v>5</v>
      </c>
      <c r="H165" t="str">
        <f>"25"</f>
        <v>25</v>
      </c>
      <c r="I165" t="str">
        <f t="shared" si="37"/>
        <v>0</v>
      </c>
      <c r="J165" t="str">
        <f t="shared" si="42"/>
        <v>00</v>
      </c>
      <c r="K165">
        <v>20150228</v>
      </c>
      <c r="L165" t="str">
        <f>"002672"</f>
        <v>002672</v>
      </c>
      <c r="M165" t="str">
        <f>"00351"</f>
        <v>00351</v>
      </c>
      <c r="N165" t="s">
        <v>195</v>
      </c>
      <c r="O165" s="1">
        <v>1500</v>
      </c>
      <c r="Q165" t="s">
        <v>33</v>
      </c>
      <c r="R165" t="s">
        <v>34</v>
      </c>
      <c r="S165" t="s">
        <v>35</v>
      </c>
      <c r="T165" t="s">
        <v>35</v>
      </c>
      <c r="U165" t="s">
        <v>34</v>
      </c>
      <c r="V165" t="str">
        <f>""</f>
        <v/>
      </c>
      <c r="W165">
        <v>20150302</v>
      </c>
      <c r="X165" t="s">
        <v>196</v>
      </c>
      <c r="Y165" t="s">
        <v>141</v>
      </c>
      <c r="Z165" t="s">
        <v>141</v>
      </c>
      <c r="AA165">
        <v>0</v>
      </c>
      <c r="AB165" t="s">
        <v>197</v>
      </c>
      <c r="AC165" t="s">
        <v>143</v>
      </c>
      <c r="AD165" t="s">
        <v>144</v>
      </c>
      <c r="AE165" t="str">
        <f t="shared" si="41"/>
        <v>02</v>
      </c>
      <c r="AF165" t="s">
        <v>40</v>
      </c>
    </row>
    <row r="166" spans="1:32" x14ac:dyDescent="0.25">
      <c r="A166">
        <v>5</v>
      </c>
      <c r="B166">
        <v>420</v>
      </c>
      <c r="C166" t="str">
        <f>"34"</f>
        <v>34</v>
      </c>
      <c r="D166">
        <v>6219</v>
      </c>
      <c r="E166" t="str">
        <f t="shared" si="39"/>
        <v>00</v>
      </c>
      <c r="F166" t="str">
        <f>"999"</f>
        <v>999</v>
      </c>
      <c r="G166">
        <v>5</v>
      </c>
      <c r="H166" t="str">
        <f>"99"</f>
        <v>99</v>
      </c>
      <c r="I166" t="str">
        <f t="shared" si="37"/>
        <v>0</v>
      </c>
      <c r="J166" t="str">
        <f t="shared" si="42"/>
        <v>00</v>
      </c>
      <c r="K166">
        <v>20150226</v>
      </c>
      <c r="L166" t="str">
        <f>"002673"</f>
        <v>002673</v>
      </c>
      <c r="M166" t="str">
        <f>"00516"</f>
        <v>00516</v>
      </c>
      <c r="N166" t="s">
        <v>139</v>
      </c>
      <c r="O166" s="1">
        <v>1955</v>
      </c>
      <c r="Q166" t="s">
        <v>33</v>
      </c>
      <c r="R166" t="s">
        <v>34</v>
      </c>
      <c r="S166" t="s">
        <v>35</v>
      </c>
      <c r="T166" t="s">
        <v>35</v>
      </c>
      <c r="U166" t="s">
        <v>34</v>
      </c>
      <c r="V166" t="str">
        <f>""</f>
        <v/>
      </c>
      <c r="W166">
        <v>20150302</v>
      </c>
      <c r="X166" t="s">
        <v>140</v>
      </c>
      <c r="Y166" t="s">
        <v>179</v>
      </c>
      <c r="Z166" t="s">
        <v>179</v>
      </c>
      <c r="AA166">
        <v>0</v>
      </c>
      <c r="AB166" t="s">
        <v>142</v>
      </c>
      <c r="AC166" t="s">
        <v>143</v>
      </c>
      <c r="AD166" t="s">
        <v>144</v>
      </c>
      <c r="AE166" t="str">
        <f t="shared" si="41"/>
        <v>02</v>
      </c>
      <c r="AF166" t="s">
        <v>40</v>
      </c>
    </row>
    <row r="167" spans="1:32" x14ac:dyDescent="0.25">
      <c r="A167">
        <v>5</v>
      </c>
      <c r="B167">
        <v>420</v>
      </c>
      <c r="C167" t="str">
        <f>"41"</f>
        <v>41</v>
      </c>
      <c r="D167">
        <v>6499</v>
      </c>
      <c r="E167" t="str">
        <f t="shared" si="39"/>
        <v>00</v>
      </c>
      <c r="F167" t="str">
        <f>"750"</f>
        <v>750</v>
      </c>
      <c r="G167">
        <v>5</v>
      </c>
      <c r="H167" t="str">
        <f>"99"</f>
        <v>99</v>
      </c>
      <c r="I167" t="str">
        <f t="shared" si="37"/>
        <v>0</v>
      </c>
      <c r="J167" t="str">
        <f t="shared" si="42"/>
        <v>00</v>
      </c>
      <c r="K167">
        <v>20150227</v>
      </c>
      <c r="L167" t="str">
        <f>"002674"</f>
        <v>002674</v>
      </c>
      <c r="M167" t="str">
        <f>"00548"</f>
        <v>00548</v>
      </c>
      <c r="N167" t="s">
        <v>167</v>
      </c>
      <c r="O167">
        <v>25</v>
      </c>
      <c r="Q167" t="s">
        <v>33</v>
      </c>
      <c r="R167" t="s">
        <v>34</v>
      </c>
      <c r="S167" t="s">
        <v>35</v>
      </c>
      <c r="T167" t="s">
        <v>35</v>
      </c>
      <c r="U167" t="s">
        <v>34</v>
      </c>
      <c r="V167" t="str">
        <f>""</f>
        <v/>
      </c>
      <c r="W167">
        <v>20150304</v>
      </c>
      <c r="X167" t="s">
        <v>168</v>
      </c>
      <c r="Y167" t="s">
        <v>198</v>
      </c>
      <c r="Z167" t="s">
        <v>198</v>
      </c>
      <c r="AA167">
        <v>0</v>
      </c>
      <c r="AB167" t="s">
        <v>142</v>
      </c>
      <c r="AC167" t="s">
        <v>170</v>
      </c>
      <c r="AD167" t="s">
        <v>144</v>
      </c>
      <c r="AE167" t="str">
        <f t="shared" si="41"/>
        <v>02</v>
      </c>
      <c r="AF167" t="s">
        <v>40</v>
      </c>
    </row>
    <row r="168" spans="1:32" x14ac:dyDescent="0.25">
      <c r="A168">
        <v>5</v>
      </c>
      <c r="B168">
        <v>429</v>
      </c>
      <c r="C168" t="str">
        <f>"71"</f>
        <v>71</v>
      </c>
      <c r="D168">
        <v>6521</v>
      </c>
      <c r="E168" t="str">
        <f t="shared" si="39"/>
        <v>00</v>
      </c>
      <c r="F168" t="str">
        <f>"999"</f>
        <v>999</v>
      </c>
      <c r="G168">
        <v>5</v>
      </c>
      <c r="H168" t="str">
        <f>"98"</f>
        <v>98</v>
      </c>
      <c r="I168" t="str">
        <f t="shared" si="37"/>
        <v>0</v>
      </c>
      <c r="J168" t="str">
        <f t="shared" si="42"/>
        <v>00</v>
      </c>
      <c r="K168">
        <v>20150302</v>
      </c>
      <c r="L168" t="str">
        <f>"002675"</f>
        <v>002675</v>
      </c>
      <c r="M168" t="str">
        <f>"00049"</f>
        <v>00049</v>
      </c>
      <c r="N168" t="s">
        <v>149</v>
      </c>
      <c r="O168" s="1">
        <v>12784.83</v>
      </c>
      <c r="Q168" t="s">
        <v>33</v>
      </c>
      <c r="R168" t="s">
        <v>34</v>
      </c>
      <c r="S168" t="s">
        <v>35</v>
      </c>
      <c r="T168" t="s">
        <v>35</v>
      </c>
      <c r="U168" t="s">
        <v>34</v>
      </c>
      <c r="V168" t="str">
        <f>""</f>
        <v/>
      </c>
      <c r="W168">
        <v>20150401</v>
      </c>
      <c r="X168" t="s">
        <v>150</v>
      </c>
      <c r="Y168" t="s">
        <v>151</v>
      </c>
      <c r="Z168" t="s">
        <v>151</v>
      </c>
      <c r="AA168">
        <v>0</v>
      </c>
      <c r="AB168" t="s">
        <v>152</v>
      </c>
      <c r="AC168" t="s">
        <v>143</v>
      </c>
      <c r="AD168" t="s">
        <v>144</v>
      </c>
      <c r="AE168" t="str">
        <f t="shared" ref="AE168:AE179" si="43">"03"</f>
        <v>03</v>
      </c>
      <c r="AF168" t="s">
        <v>40</v>
      </c>
    </row>
    <row r="169" spans="1:32" x14ac:dyDescent="0.25">
      <c r="A169">
        <v>5</v>
      </c>
      <c r="B169">
        <v>429</v>
      </c>
      <c r="C169" t="str">
        <f>"71"</f>
        <v>71</v>
      </c>
      <c r="D169">
        <v>6521</v>
      </c>
      <c r="E169" t="str">
        <f t="shared" si="39"/>
        <v>00</v>
      </c>
      <c r="F169" t="str">
        <f>"999"</f>
        <v>999</v>
      </c>
      <c r="G169">
        <v>5</v>
      </c>
      <c r="H169" t="str">
        <f>"98"</f>
        <v>98</v>
      </c>
      <c r="I169" t="str">
        <f t="shared" si="37"/>
        <v>0</v>
      </c>
      <c r="J169" t="str">
        <f>"01"</f>
        <v>01</v>
      </c>
      <c r="K169">
        <v>20150302</v>
      </c>
      <c r="L169" t="str">
        <f>"002675"</f>
        <v>002675</v>
      </c>
      <c r="M169" t="str">
        <f>"00049"</f>
        <v>00049</v>
      </c>
      <c r="N169" t="s">
        <v>149</v>
      </c>
      <c r="O169" s="1">
        <v>3962.57</v>
      </c>
      <c r="Q169" t="s">
        <v>33</v>
      </c>
      <c r="R169" t="s">
        <v>34</v>
      </c>
      <c r="S169" t="s">
        <v>35</v>
      </c>
      <c r="T169" t="s">
        <v>35</v>
      </c>
      <c r="U169" t="s">
        <v>34</v>
      </c>
      <c r="V169" t="str">
        <f>""</f>
        <v/>
      </c>
      <c r="W169">
        <v>20150401</v>
      </c>
      <c r="X169" t="s">
        <v>153</v>
      </c>
      <c r="Y169" t="s">
        <v>154</v>
      </c>
      <c r="Z169" t="s">
        <v>154</v>
      </c>
      <c r="AA169">
        <v>0</v>
      </c>
      <c r="AB169" t="s">
        <v>152</v>
      </c>
      <c r="AC169" t="s">
        <v>143</v>
      </c>
      <c r="AD169" t="s">
        <v>144</v>
      </c>
      <c r="AE169" t="str">
        <f t="shared" si="43"/>
        <v>03</v>
      </c>
      <c r="AF169" t="s">
        <v>40</v>
      </c>
    </row>
    <row r="170" spans="1:32" x14ac:dyDescent="0.25">
      <c r="A170">
        <v>5</v>
      </c>
      <c r="B170">
        <v>429</v>
      </c>
      <c r="C170" t="str">
        <f>"71"</f>
        <v>71</v>
      </c>
      <c r="D170">
        <v>6521</v>
      </c>
      <c r="E170" t="str">
        <f t="shared" si="39"/>
        <v>00</v>
      </c>
      <c r="F170" t="str">
        <f>"999"</f>
        <v>999</v>
      </c>
      <c r="G170">
        <v>5</v>
      </c>
      <c r="H170" t="str">
        <f>"99"</f>
        <v>99</v>
      </c>
      <c r="I170" t="str">
        <f t="shared" si="37"/>
        <v>0</v>
      </c>
      <c r="J170" t="str">
        <f>"00"</f>
        <v>00</v>
      </c>
      <c r="K170">
        <v>20150302</v>
      </c>
      <c r="L170" t="str">
        <f>"002675"</f>
        <v>002675</v>
      </c>
      <c r="M170" t="str">
        <f>"00049"</f>
        <v>00049</v>
      </c>
      <c r="N170" t="s">
        <v>149</v>
      </c>
      <c r="O170">
        <v>265.8</v>
      </c>
      <c r="Q170" t="s">
        <v>33</v>
      </c>
      <c r="R170" t="s">
        <v>34</v>
      </c>
      <c r="S170" t="s">
        <v>35</v>
      </c>
      <c r="T170" t="s">
        <v>35</v>
      </c>
      <c r="U170" t="s">
        <v>34</v>
      </c>
      <c r="V170" t="str">
        <f>""</f>
        <v/>
      </c>
      <c r="W170">
        <v>20150401</v>
      </c>
      <c r="X170" t="s">
        <v>155</v>
      </c>
      <c r="Y170" t="s">
        <v>156</v>
      </c>
      <c r="Z170" t="s">
        <v>156</v>
      </c>
      <c r="AA170">
        <v>0</v>
      </c>
      <c r="AB170" t="s">
        <v>152</v>
      </c>
      <c r="AC170" t="s">
        <v>143</v>
      </c>
      <c r="AD170" t="s">
        <v>144</v>
      </c>
      <c r="AE170" t="str">
        <f t="shared" si="43"/>
        <v>03</v>
      </c>
      <c r="AF170" t="s">
        <v>40</v>
      </c>
    </row>
    <row r="171" spans="1:32" x14ac:dyDescent="0.25">
      <c r="A171">
        <v>5</v>
      </c>
      <c r="B171">
        <v>429</v>
      </c>
      <c r="C171" t="str">
        <f>"71"</f>
        <v>71</v>
      </c>
      <c r="D171">
        <v>6521</v>
      </c>
      <c r="E171" t="str">
        <f t="shared" si="39"/>
        <v>00</v>
      </c>
      <c r="F171" t="str">
        <f>"999"</f>
        <v>999</v>
      </c>
      <c r="G171">
        <v>5</v>
      </c>
      <c r="H171" t="str">
        <f>"99"</f>
        <v>99</v>
      </c>
      <c r="I171" t="str">
        <f t="shared" si="37"/>
        <v>0</v>
      </c>
      <c r="J171" t="str">
        <f>"02"</f>
        <v>02</v>
      </c>
      <c r="K171">
        <v>20150302</v>
      </c>
      <c r="L171" t="str">
        <f>"002675"</f>
        <v>002675</v>
      </c>
      <c r="M171" t="str">
        <f>"00049"</f>
        <v>00049</v>
      </c>
      <c r="N171" t="s">
        <v>149</v>
      </c>
      <c r="O171" s="1">
        <v>1774.9</v>
      </c>
      <c r="Q171" t="s">
        <v>33</v>
      </c>
      <c r="R171" t="s">
        <v>34</v>
      </c>
      <c r="S171" t="s">
        <v>35</v>
      </c>
      <c r="T171" t="s">
        <v>35</v>
      </c>
      <c r="U171" t="s">
        <v>34</v>
      </c>
      <c r="V171" t="str">
        <f>""</f>
        <v/>
      </c>
      <c r="W171">
        <v>20150401</v>
      </c>
      <c r="X171" t="s">
        <v>157</v>
      </c>
      <c r="Y171" t="s">
        <v>158</v>
      </c>
      <c r="Z171" t="s">
        <v>158</v>
      </c>
      <c r="AA171">
        <v>0</v>
      </c>
      <c r="AB171" t="s">
        <v>152</v>
      </c>
      <c r="AC171" t="s">
        <v>143</v>
      </c>
      <c r="AD171" t="s">
        <v>144</v>
      </c>
      <c r="AE171" t="str">
        <f t="shared" si="43"/>
        <v>03</v>
      </c>
      <c r="AF171" t="s">
        <v>40</v>
      </c>
    </row>
    <row r="172" spans="1:32" x14ac:dyDescent="0.25">
      <c r="A172">
        <v>5</v>
      </c>
      <c r="B172">
        <v>420</v>
      </c>
      <c r="C172" t="str">
        <f>"41"</f>
        <v>41</v>
      </c>
      <c r="D172">
        <v>6499</v>
      </c>
      <c r="E172" t="str">
        <f t="shared" si="39"/>
        <v>00</v>
      </c>
      <c r="F172" t="str">
        <f>"750"</f>
        <v>750</v>
      </c>
      <c r="G172">
        <v>5</v>
      </c>
      <c r="H172" t="str">
        <f>"99"</f>
        <v>99</v>
      </c>
      <c r="I172" t="str">
        <f t="shared" si="37"/>
        <v>0</v>
      </c>
      <c r="J172" t="str">
        <f>"00"</f>
        <v>00</v>
      </c>
      <c r="K172">
        <v>20150302</v>
      </c>
      <c r="L172" t="str">
        <f>"002676"</f>
        <v>002676</v>
      </c>
      <c r="M172" t="str">
        <f>"00673"</f>
        <v>00673</v>
      </c>
      <c r="N172" t="s">
        <v>159</v>
      </c>
      <c r="O172">
        <v>13</v>
      </c>
      <c r="Q172" t="s">
        <v>33</v>
      </c>
      <c r="R172" t="s">
        <v>34</v>
      </c>
      <c r="S172" t="s">
        <v>35</v>
      </c>
      <c r="T172" t="s">
        <v>35</v>
      </c>
      <c r="U172" t="s">
        <v>34</v>
      </c>
      <c r="V172" t="str">
        <f>""</f>
        <v/>
      </c>
      <c r="W172">
        <v>20150401</v>
      </c>
      <c r="X172" t="s">
        <v>168</v>
      </c>
      <c r="Y172" t="s">
        <v>171</v>
      </c>
      <c r="Z172" t="s">
        <v>171</v>
      </c>
      <c r="AA172">
        <v>0</v>
      </c>
      <c r="AB172" t="s">
        <v>142</v>
      </c>
      <c r="AC172" t="s">
        <v>170</v>
      </c>
      <c r="AD172" t="s">
        <v>144</v>
      </c>
      <c r="AE172" t="str">
        <f t="shared" si="43"/>
        <v>03</v>
      </c>
      <c r="AF172" t="s">
        <v>40</v>
      </c>
    </row>
    <row r="173" spans="1:32" x14ac:dyDescent="0.25">
      <c r="A173">
        <v>5</v>
      </c>
      <c r="B173">
        <v>429</v>
      </c>
      <c r="C173" t="str">
        <f>"71"</f>
        <v>71</v>
      </c>
      <c r="D173">
        <v>6521</v>
      </c>
      <c r="E173" t="str">
        <f t="shared" ref="E173:E204" si="44">"00"</f>
        <v>00</v>
      </c>
      <c r="F173" t="str">
        <f>"999"</f>
        <v>999</v>
      </c>
      <c r="G173">
        <v>5</v>
      </c>
      <c r="H173" t="str">
        <f>"99"</f>
        <v>99</v>
      </c>
      <c r="I173" t="str">
        <f t="shared" si="37"/>
        <v>0</v>
      </c>
      <c r="J173" t="str">
        <f>"03"</f>
        <v>03</v>
      </c>
      <c r="K173">
        <v>20150302</v>
      </c>
      <c r="L173" t="str">
        <f>"002676"</f>
        <v>002676</v>
      </c>
      <c r="M173" t="str">
        <f>"00673"</f>
        <v>00673</v>
      </c>
      <c r="N173" t="s">
        <v>159</v>
      </c>
      <c r="O173" s="1">
        <v>6485.64</v>
      </c>
      <c r="Q173" t="s">
        <v>33</v>
      </c>
      <c r="R173" t="s">
        <v>34</v>
      </c>
      <c r="S173" t="s">
        <v>35</v>
      </c>
      <c r="T173" t="s">
        <v>35</v>
      </c>
      <c r="U173" t="s">
        <v>34</v>
      </c>
      <c r="V173" t="str">
        <f>""</f>
        <v/>
      </c>
      <c r="W173">
        <v>20150401</v>
      </c>
      <c r="X173" t="s">
        <v>160</v>
      </c>
      <c r="Y173" t="s">
        <v>161</v>
      </c>
      <c r="Z173" t="s">
        <v>161</v>
      </c>
      <c r="AA173">
        <v>0</v>
      </c>
      <c r="AB173" t="s">
        <v>152</v>
      </c>
      <c r="AC173" t="s">
        <v>143</v>
      </c>
      <c r="AD173" t="s">
        <v>144</v>
      </c>
      <c r="AE173" t="str">
        <f t="shared" si="43"/>
        <v>03</v>
      </c>
      <c r="AF173" t="s">
        <v>40</v>
      </c>
    </row>
    <row r="174" spans="1:32" x14ac:dyDescent="0.25">
      <c r="A174">
        <v>5</v>
      </c>
      <c r="B174">
        <v>429</v>
      </c>
      <c r="C174" t="str">
        <f>"71"</f>
        <v>71</v>
      </c>
      <c r="D174">
        <v>6521</v>
      </c>
      <c r="E174" t="str">
        <f t="shared" si="44"/>
        <v>00</v>
      </c>
      <c r="F174" t="str">
        <f>"999"</f>
        <v>999</v>
      </c>
      <c r="G174">
        <v>5</v>
      </c>
      <c r="H174" t="str">
        <f>"99"</f>
        <v>99</v>
      </c>
      <c r="I174" t="str">
        <f t="shared" si="37"/>
        <v>0</v>
      </c>
      <c r="J174" t="str">
        <f>"04"</f>
        <v>04</v>
      </c>
      <c r="K174">
        <v>20150302</v>
      </c>
      <c r="L174" t="str">
        <f>"002676"</f>
        <v>002676</v>
      </c>
      <c r="M174" t="str">
        <f>"00673"</f>
        <v>00673</v>
      </c>
      <c r="N174" t="s">
        <v>159</v>
      </c>
      <c r="O174" s="1">
        <v>9916.67</v>
      </c>
      <c r="Q174" t="s">
        <v>33</v>
      </c>
      <c r="R174" t="s">
        <v>34</v>
      </c>
      <c r="S174" t="s">
        <v>35</v>
      </c>
      <c r="T174" t="s">
        <v>35</v>
      </c>
      <c r="U174" t="s">
        <v>34</v>
      </c>
      <c r="V174" t="str">
        <f>""</f>
        <v/>
      </c>
      <c r="W174">
        <v>20150401</v>
      </c>
      <c r="X174" t="s">
        <v>162</v>
      </c>
      <c r="Y174" t="s">
        <v>163</v>
      </c>
      <c r="Z174" t="s">
        <v>163</v>
      </c>
      <c r="AA174">
        <v>0</v>
      </c>
      <c r="AB174" t="s">
        <v>152</v>
      </c>
      <c r="AC174" t="s">
        <v>143</v>
      </c>
      <c r="AD174" t="s">
        <v>144</v>
      </c>
      <c r="AE174" t="str">
        <f t="shared" si="43"/>
        <v>03</v>
      </c>
      <c r="AF174" t="s">
        <v>40</v>
      </c>
    </row>
    <row r="175" spans="1:32" x14ac:dyDescent="0.25">
      <c r="A175">
        <v>5</v>
      </c>
      <c r="B175">
        <v>420</v>
      </c>
      <c r="C175" t="str">
        <f>"11"</f>
        <v>11</v>
      </c>
      <c r="D175">
        <v>6219</v>
      </c>
      <c r="E175" t="str">
        <f t="shared" si="44"/>
        <v>00</v>
      </c>
      <c r="F175" t="str">
        <f>"101"</f>
        <v>101</v>
      </c>
      <c r="G175">
        <v>5</v>
      </c>
      <c r="H175" t="str">
        <f>"11"</f>
        <v>11</v>
      </c>
      <c r="I175" t="str">
        <f t="shared" si="37"/>
        <v>0</v>
      </c>
      <c r="J175" t="str">
        <f t="shared" ref="J175:J180" si="45">"00"</f>
        <v>00</v>
      </c>
      <c r="K175">
        <v>20150306</v>
      </c>
      <c r="L175" t="str">
        <f>"002677"</f>
        <v>002677</v>
      </c>
      <c r="M175" t="str">
        <f>"00686"</f>
        <v>00686</v>
      </c>
      <c r="N175" t="s">
        <v>146</v>
      </c>
      <c r="O175" s="1">
        <v>1242.67</v>
      </c>
      <c r="Q175" t="s">
        <v>33</v>
      </c>
      <c r="R175" t="s">
        <v>34</v>
      </c>
      <c r="S175" t="s">
        <v>35</v>
      </c>
      <c r="T175" t="s">
        <v>35</v>
      </c>
      <c r="U175" t="s">
        <v>34</v>
      </c>
      <c r="V175" t="str">
        <f>""</f>
        <v/>
      </c>
      <c r="W175">
        <v>20150401</v>
      </c>
      <c r="X175" t="s">
        <v>147</v>
      </c>
      <c r="Y175" t="s">
        <v>148</v>
      </c>
      <c r="Z175" t="s">
        <v>148</v>
      </c>
      <c r="AA175">
        <v>0</v>
      </c>
      <c r="AB175" t="s">
        <v>142</v>
      </c>
      <c r="AC175" t="s">
        <v>41</v>
      </c>
      <c r="AD175" t="s">
        <v>144</v>
      </c>
      <c r="AE175" t="str">
        <f t="shared" si="43"/>
        <v>03</v>
      </c>
      <c r="AF175" t="s">
        <v>40</v>
      </c>
    </row>
    <row r="176" spans="1:32" x14ac:dyDescent="0.25">
      <c r="A176">
        <v>5</v>
      </c>
      <c r="B176">
        <v>211</v>
      </c>
      <c r="C176" t="str">
        <f>"11"</f>
        <v>11</v>
      </c>
      <c r="D176">
        <v>6219</v>
      </c>
      <c r="E176" t="str">
        <f t="shared" si="44"/>
        <v>00</v>
      </c>
      <c r="F176" t="str">
        <f>"101"</f>
        <v>101</v>
      </c>
      <c r="G176">
        <v>5</v>
      </c>
      <c r="H176" t="str">
        <f>"30"</f>
        <v>30</v>
      </c>
      <c r="I176" t="str">
        <f t="shared" si="37"/>
        <v>0</v>
      </c>
      <c r="J176" t="str">
        <f t="shared" si="45"/>
        <v>00</v>
      </c>
      <c r="K176">
        <v>20150326</v>
      </c>
      <c r="L176" t="str">
        <f>"002678"</f>
        <v>002678</v>
      </c>
      <c r="M176" t="str">
        <f>"00173"</f>
        <v>00173</v>
      </c>
      <c r="N176" t="s">
        <v>180</v>
      </c>
      <c r="O176">
        <v>350</v>
      </c>
      <c r="Q176" t="s">
        <v>33</v>
      </c>
      <c r="R176" t="s">
        <v>34</v>
      </c>
      <c r="S176" t="s">
        <v>35</v>
      </c>
      <c r="T176" t="s">
        <v>35</v>
      </c>
      <c r="U176" t="s">
        <v>34</v>
      </c>
      <c r="V176" t="str">
        <f>""</f>
        <v/>
      </c>
      <c r="W176">
        <v>20150401</v>
      </c>
      <c r="X176" t="s">
        <v>181</v>
      </c>
      <c r="Y176" t="s">
        <v>141</v>
      </c>
      <c r="Z176" t="s">
        <v>141</v>
      </c>
      <c r="AA176">
        <v>0</v>
      </c>
      <c r="AB176" t="s">
        <v>174</v>
      </c>
      <c r="AC176" t="s">
        <v>41</v>
      </c>
      <c r="AD176" t="s">
        <v>144</v>
      </c>
      <c r="AE176" t="str">
        <f t="shared" si="43"/>
        <v>03</v>
      </c>
      <c r="AF176" t="s">
        <v>40</v>
      </c>
    </row>
    <row r="177" spans="1:32" x14ac:dyDescent="0.25">
      <c r="A177">
        <v>5</v>
      </c>
      <c r="B177">
        <v>420</v>
      </c>
      <c r="C177" t="str">
        <f>"34"</f>
        <v>34</v>
      </c>
      <c r="D177">
        <v>6219</v>
      </c>
      <c r="E177" t="str">
        <f t="shared" si="44"/>
        <v>00</v>
      </c>
      <c r="F177" t="str">
        <f>"999"</f>
        <v>999</v>
      </c>
      <c r="G177">
        <v>5</v>
      </c>
      <c r="H177" t="str">
        <f>"99"</f>
        <v>99</v>
      </c>
      <c r="I177" t="str">
        <f t="shared" si="37"/>
        <v>0</v>
      </c>
      <c r="J177" t="str">
        <f t="shared" si="45"/>
        <v>00</v>
      </c>
      <c r="K177">
        <v>20150326</v>
      </c>
      <c r="L177" t="str">
        <f>"002679"</f>
        <v>002679</v>
      </c>
      <c r="M177" t="str">
        <f>"00516"</f>
        <v>00516</v>
      </c>
      <c r="N177" t="s">
        <v>139</v>
      </c>
      <c r="O177" s="1">
        <v>1465</v>
      </c>
      <c r="Q177" t="s">
        <v>33</v>
      </c>
      <c r="R177" t="s">
        <v>34</v>
      </c>
      <c r="S177" t="s">
        <v>35</v>
      </c>
      <c r="T177" t="s">
        <v>35</v>
      </c>
      <c r="U177" t="s">
        <v>34</v>
      </c>
      <c r="V177" t="str">
        <f>""</f>
        <v/>
      </c>
      <c r="W177">
        <v>20150401</v>
      </c>
      <c r="X177" t="s">
        <v>140</v>
      </c>
      <c r="Y177" t="s">
        <v>179</v>
      </c>
      <c r="Z177" t="s">
        <v>179</v>
      </c>
      <c r="AA177">
        <v>0</v>
      </c>
      <c r="AB177" t="s">
        <v>142</v>
      </c>
      <c r="AC177" t="s">
        <v>143</v>
      </c>
      <c r="AD177" t="s">
        <v>144</v>
      </c>
      <c r="AE177" t="str">
        <f t="shared" si="43"/>
        <v>03</v>
      </c>
      <c r="AF177" t="s">
        <v>40</v>
      </c>
    </row>
    <row r="178" spans="1:32" x14ac:dyDescent="0.25">
      <c r="A178">
        <v>5</v>
      </c>
      <c r="B178">
        <v>420</v>
      </c>
      <c r="C178" t="str">
        <f>"36"</f>
        <v>36</v>
      </c>
      <c r="D178">
        <v>6219</v>
      </c>
      <c r="E178" t="str">
        <f t="shared" si="44"/>
        <v>00</v>
      </c>
      <c r="F178" t="str">
        <f>"999"</f>
        <v>999</v>
      </c>
      <c r="G178">
        <v>5</v>
      </c>
      <c r="H178" t="str">
        <f>"91"</f>
        <v>91</v>
      </c>
      <c r="I178" t="str">
        <f t="shared" si="37"/>
        <v>0</v>
      </c>
      <c r="J178" t="str">
        <f t="shared" si="45"/>
        <v>00</v>
      </c>
      <c r="K178">
        <v>20150326</v>
      </c>
      <c r="L178" t="str">
        <f>"002679"</f>
        <v>002679</v>
      </c>
      <c r="M178" t="str">
        <f>"00516"</f>
        <v>00516</v>
      </c>
      <c r="N178" t="s">
        <v>139</v>
      </c>
      <c r="O178">
        <v>120</v>
      </c>
      <c r="Q178" t="s">
        <v>33</v>
      </c>
      <c r="R178" t="s">
        <v>34</v>
      </c>
      <c r="S178" t="s">
        <v>35</v>
      </c>
      <c r="T178" t="s">
        <v>35</v>
      </c>
      <c r="U178" t="s">
        <v>34</v>
      </c>
      <c r="V178" t="str">
        <f>""</f>
        <v/>
      </c>
      <c r="W178">
        <v>20150401</v>
      </c>
      <c r="X178" t="s">
        <v>186</v>
      </c>
      <c r="Y178" t="s">
        <v>199</v>
      </c>
      <c r="Z178" t="s">
        <v>199</v>
      </c>
      <c r="AA178">
        <v>0</v>
      </c>
      <c r="AB178" t="s">
        <v>142</v>
      </c>
      <c r="AC178" t="s">
        <v>143</v>
      </c>
      <c r="AD178" t="s">
        <v>144</v>
      </c>
      <c r="AE178" t="str">
        <f t="shared" si="43"/>
        <v>03</v>
      </c>
      <c r="AF178" t="s">
        <v>40</v>
      </c>
    </row>
    <row r="179" spans="1:32" x14ac:dyDescent="0.25">
      <c r="A179">
        <v>5</v>
      </c>
      <c r="B179">
        <v>420</v>
      </c>
      <c r="C179" t="str">
        <f>"41"</f>
        <v>41</v>
      </c>
      <c r="D179">
        <v>6499</v>
      </c>
      <c r="E179" t="str">
        <f t="shared" si="44"/>
        <v>00</v>
      </c>
      <c r="F179" t="str">
        <f>"750"</f>
        <v>750</v>
      </c>
      <c r="G179">
        <v>5</v>
      </c>
      <c r="H179" t="str">
        <f>"99"</f>
        <v>99</v>
      </c>
      <c r="I179" t="str">
        <f t="shared" si="37"/>
        <v>0</v>
      </c>
      <c r="J179" t="str">
        <f t="shared" si="45"/>
        <v>00</v>
      </c>
      <c r="K179">
        <v>20150331</v>
      </c>
      <c r="L179" t="str">
        <f>"002680"</f>
        <v>002680</v>
      </c>
      <c r="M179" t="str">
        <f>"00548"</f>
        <v>00548</v>
      </c>
      <c r="N179" t="s">
        <v>167</v>
      </c>
      <c r="O179">
        <v>25</v>
      </c>
      <c r="Q179" t="s">
        <v>33</v>
      </c>
      <c r="R179" t="s">
        <v>34</v>
      </c>
      <c r="S179" t="s">
        <v>35</v>
      </c>
      <c r="T179" t="s">
        <v>35</v>
      </c>
      <c r="U179" t="s">
        <v>34</v>
      </c>
      <c r="V179" t="str">
        <f>""</f>
        <v/>
      </c>
      <c r="W179">
        <v>20150403</v>
      </c>
      <c r="X179" t="s">
        <v>168</v>
      </c>
      <c r="Y179" t="s">
        <v>169</v>
      </c>
      <c r="Z179" t="s">
        <v>169</v>
      </c>
      <c r="AA179">
        <v>0</v>
      </c>
      <c r="AB179" t="s">
        <v>142</v>
      </c>
      <c r="AC179" t="s">
        <v>170</v>
      </c>
      <c r="AD179" t="s">
        <v>144</v>
      </c>
      <c r="AE179" t="str">
        <f t="shared" si="43"/>
        <v>03</v>
      </c>
      <c r="AF179" t="s">
        <v>40</v>
      </c>
    </row>
    <row r="180" spans="1:32" x14ac:dyDescent="0.25">
      <c r="A180">
        <v>5</v>
      </c>
      <c r="B180">
        <v>429</v>
      </c>
      <c r="C180" t="str">
        <f>"71"</f>
        <v>71</v>
      </c>
      <c r="D180">
        <v>6521</v>
      </c>
      <c r="E180" t="str">
        <f t="shared" si="44"/>
        <v>00</v>
      </c>
      <c r="F180" t="str">
        <f>"999"</f>
        <v>999</v>
      </c>
      <c r="G180">
        <v>5</v>
      </c>
      <c r="H180" t="str">
        <f>"98"</f>
        <v>98</v>
      </c>
      <c r="I180" t="str">
        <f t="shared" si="37"/>
        <v>0</v>
      </c>
      <c r="J180" t="str">
        <f t="shared" si="45"/>
        <v>00</v>
      </c>
      <c r="K180">
        <v>20150401</v>
      </c>
      <c r="L180" t="str">
        <f>"002681"</f>
        <v>002681</v>
      </c>
      <c r="M180" t="str">
        <f>"00049"</f>
        <v>00049</v>
      </c>
      <c r="N180" t="s">
        <v>149</v>
      </c>
      <c r="O180" s="1">
        <v>12784.83</v>
      </c>
      <c r="Q180" t="s">
        <v>33</v>
      </c>
      <c r="R180" t="s">
        <v>34</v>
      </c>
      <c r="S180" t="s">
        <v>35</v>
      </c>
      <c r="T180" t="s">
        <v>35</v>
      </c>
      <c r="U180" t="s">
        <v>34</v>
      </c>
      <c r="V180" t="str">
        <f>""</f>
        <v/>
      </c>
      <c r="W180">
        <v>20150501</v>
      </c>
      <c r="X180" t="s">
        <v>150</v>
      </c>
      <c r="Y180" t="s">
        <v>151</v>
      </c>
      <c r="Z180" t="s">
        <v>151</v>
      </c>
      <c r="AA180">
        <v>0</v>
      </c>
      <c r="AB180" t="s">
        <v>152</v>
      </c>
      <c r="AC180" t="s">
        <v>143</v>
      </c>
      <c r="AD180" t="s">
        <v>144</v>
      </c>
      <c r="AE180" t="str">
        <f t="shared" ref="AE180:AE188" si="46">"04"</f>
        <v>04</v>
      </c>
      <c r="AF180" t="s">
        <v>40</v>
      </c>
    </row>
    <row r="181" spans="1:32" x14ac:dyDescent="0.25">
      <c r="A181">
        <v>5</v>
      </c>
      <c r="B181">
        <v>429</v>
      </c>
      <c r="C181" t="str">
        <f>"71"</f>
        <v>71</v>
      </c>
      <c r="D181">
        <v>6521</v>
      </c>
      <c r="E181" t="str">
        <f t="shared" si="44"/>
        <v>00</v>
      </c>
      <c r="F181" t="str">
        <f>"999"</f>
        <v>999</v>
      </c>
      <c r="G181">
        <v>5</v>
      </c>
      <c r="H181" t="str">
        <f>"98"</f>
        <v>98</v>
      </c>
      <c r="I181" t="str">
        <f t="shared" si="37"/>
        <v>0</v>
      </c>
      <c r="J181" t="str">
        <f>"01"</f>
        <v>01</v>
      </c>
      <c r="K181">
        <v>20150401</v>
      </c>
      <c r="L181" t="str">
        <f>"002681"</f>
        <v>002681</v>
      </c>
      <c r="M181" t="str">
        <f>"00049"</f>
        <v>00049</v>
      </c>
      <c r="N181" t="s">
        <v>149</v>
      </c>
      <c r="O181" s="1">
        <v>3962.57</v>
      </c>
      <c r="Q181" t="s">
        <v>33</v>
      </c>
      <c r="R181" t="s">
        <v>34</v>
      </c>
      <c r="S181" t="s">
        <v>35</v>
      </c>
      <c r="T181" t="s">
        <v>35</v>
      </c>
      <c r="U181" t="s">
        <v>34</v>
      </c>
      <c r="V181" t="str">
        <f>""</f>
        <v/>
      </c>
      <c r="W181">
        <v>20150501</v>
      </c>
      <c r="X181" t="s">
        <v>153</v>
      </c>
      <c r="Y181" t="s">
        <v>154</v>
      </c>
      <c r="Z181" t="s">
        <v>154</v>
      </c>
      <c r="AA181">
        <v>0</v>
      </c>
      <c r="AB181" t="s">
        <v>152</v>
      </c>
      <c r="AC181" t="s">
        <v>143</v>
      </c>
      <c r="AD181" t="s">
        <v>144</v>
      </c>
      <c r="AE181" t="str">
        <f t="shared" si="46"/>
        <v>04</v>
      </c>
      <c r="AF181" t="s">
        <v>40</v>
      </c>
    </row>
    <row r="182" spans="1:32" x14ac:dyDescent="0.25">
      <c r="A182">
        <v>5</v>
      </c>
      <c r="B182">
        <v>429</v>
      </c>
      <c r="C182" t="str">
        <f>"71"</f>
        <v>71</v>
      </c>
      <c r="D182">
        <v>6521</v>
      </c>
      <c r="E182" t="str">
        <f t="shared" si="44"/>
        <v>00</v>
      </c>
      <c r="F182" t="str">
        <f>"999"</f>
        <v>999</v>
      </c>
      <c r="G182">
        <v>5</v>
      </c>
      <c r="H182" t="str">
        <f>"99"</f>
        <v>99</v>
      </c>
      <c r="I182" t="str">
        <f t="shared" si="37"/>
        <v>0</v>
      </c>
      <c r="J182" t="str">
        <f>"00"</f>
        <v>00</v>
      </c>
      <c r="K182">
        <v>20150401</v>
      </c>
      <c r="L182" t="str">
        <f>"002681"</f>
        <v>002681</v>
      </c>
      <c r="M182" t="str">
        <f>"00049"</f>
        <v>00049</v>
      </c>
      <c r="N182" t="s">
        <v>149</v>
      </c>
      <c r="O182">
        <v>265.8</v>
      </c>
      <c r="Q182" t="s">
        <v>33</v>
      </c>
      <c r="R182" t="s">
        <v>34</v>
      </c>
      <c r="S182" t="s">
        <v>35</v>
      </c>
      <c r="T182" t="s">
        <v>35</v>
      </c>
      <c r="U182" t="s">
        <v>34</v>
      </c>
      <c r="V182" t="str">
        <f>""</f>
        <v/>
      </c>
      <c r="W182">
        <v>20150501</v>
      </c>
      <c r="X182" t="s">
        <v>155</v>
      </c>
      <c r="Y182" t="s">
        <v>156</v>
      </c>
      <c r="Z182" t="s">
        <v>156</v>
      </c>
      <c r="AA182">
        <v>0</v>
      </c>
      <c r="AB182" t="s">
        <v>152</v>
      </c>
      <c r="AC182" t="s">
        <v>143</v>
      </c>
      <c r="AD182" t="s">
        <v>144</v>
      </c>
      <c r="AE182" t="str">
        <f t="shared" si="46"/>
        <v>04</v>
      </c>
      <c r="AF182" t="s">
        <v>40</v>
      </c>
    </row>
    <row r="183" spans="1:32" x14ac:dyDescent="0.25">
      <c r="A183">
        <v>5</v>
      </c>
      <c r="B183">
        <v>429</v>
      </c>
      <c r="C183" t="str">
        <f>"71"</f>
        <v>71</v>
      </c>
      <c r="D183">
        <v>6521</v>
      </c>
      <c r="E183" t="str">
        <f t="shared" si="44"/>
        <v>00</v>
      </c>
      <c r="F183" t="str">
        <f>"999"</f>
        <v>999</v>
      </c>
      <c r="G183">
        <v>5</v>
      </c>
      <c r="H183" t="str">
        <f>"99"</f>
        <v>99</v>
      </c>
      <c r="I183" t="str">
        <f t="shared" si="37"/>
        <v>0</v>
      </c>
      <c r="J183" t="str">
        <f>"02"</f>
        <v>02</v>
      </c>
      <c r="K183">
        <v>20150401</v>
      </c>
      <c r="L183" t="str">
        <f>"002681"</f>
        <v>002681</v>
      </c>
      <c r="M183" t="str">
        <f>"00049"</f>
        <v>00049</v>
      </c>
      <c r="N183" t="s">
        <v>149</v>
      </c>
      <c r="O183" s="1">
        <v>1774.9</v>
      </c>
      <c r="Q183" t="s">
        <v>33</v>
      </c>
      <c r="R183" t="s">
        <v>34</v>
      </c>
      <c r="S183" t="s">
        <v>35</v>
      </c>
      <c r="T183" t="s">
        <v>35</v>
      </c>
      <c r="U183" t="s">
        <v>34</v>
      </c>
      <c r="V183" t="str">
        <f>""</f>
        <v/>
      </c>
      <c r="W183">
        <v>20150501</v>
      </c>
      <c r="X183" t="s">
        <v>157</v>
      </c>
      <c r="Y183" t="s">
        <v>158</v>
      </c>
      <c r="Z183" t="s">
        <v>158</v>
      </c>
      <c r="AA183">
        <v>0</v>
      </c>
      <c r="AB183" t="s">
        <v>152</v>
      </c>
      <c r="AC183" t="s">
        <v>143</v>
      </c>
      <c r="AD183" t="s">
        <v>144</v>
      </c>
      <c r="AE183" t="str">
        <f t="shared" si="46"/>
        <v>04</v>
      </c>
      <c r="AF183" t="s">
        <v>40</v>
      </c>
    </row>
    <row r="184" spans="1:32" x14ac:dyDescent="0.25">
      <c r="A184">
        <v>5</v>
      </c>
      <c r="B184">
        <v>420</v>
      </c>
      <c r="C184" t="str">
        <f>"41"</f>
        <v>41</v>
      </c>
      <c r="D184">
        <v>6499</v>
      </c>
      <c r="E184" t="str">
        <f t="shared" si="44"/>
        <v>00</v>
      </c>
      <c r="F184" t="str">
        <f>"750"</f>
        <v>750</v>
      </c>
      <c r="G184">
        <v>5</v>
      </c>
      <c r="H184" t="str">
        <f>"99"</f>
        <v>99</v>
      </c>
      <c r="I184" t="str">
        <f t="shared" si="37"/>
        <v>0</v>
      </c>
      <c r="J184" t="str">
        <f>"00"</f>
        <v>00</v>
      </c>
      <c r="K184">
        <v>20150501</v>
      </c>
      <c r="L184" t="str">
        <f>"002682"</f>
        <v>002682</v>
      </c>
      <c r="M184" t="str">
        <f>"00673"</f>
        <v>00673</v>
      </c>
      <c r="N184" t="s">
        <v>159</v>
      </c>
      <c r="O184">
        <v>13</v>
      </c>
      <c r="Q184" t="s">
        <v>33</v>
      </c>
      <c r="R184" t="s">
        <v>34</v>
      </c>
      <c r="S184" t="s">
        <v>35</v>
      </c>
      <c r="T184" t="s">
        <v>35</v>
      </c>
      <c r="U184" t="s">
        <v>34</v>
      </c>
      <c r="V184" t="str">
        <f>""</f>
        <v/>
      </c>
      <c r="W184">
        <v>20150501</v>
      </c>
      <c r="X184" t="s">
        <v>168</v>
      </c>
      <c r="Y184" t="s">
        <v>171</v>
      </c>
      <c r="Z184" t="s">
        <v>171</v>
      </c>
      <c r="AA184">
        <v>0</v>
      </c>
      <c r="AB184" t="s">
        <v>142</v>
      </c>
      <c r="AC184" t="s">
        <v>170</v>
      </c>
      <c r="AD184" t="s">
        <v>144</v>
      </c>
      <c r="AE184" t="str">
        <f t="shared" si="46"/>
        <v>04</v>
      </c>
      <c r="AF184" t="s">
        <v>40</v>
      </c>
    </row>
    <row r="185" spans="1:32" x14ac:dyDescent="0.25">
      <c r="A185">
        <v>5</v>
      </c>
      <c r="B185">
        <v>429</v>
      </c>
      <c r="C185" t="str">
        <f>"71"</f>
        <v>71</v>
      </c>
      <c r="D185">
        <v>6521</v>
      </c>
      <c r="E185" t="str">
        <f t="shared" si="44"/>
        <v>00</v>
      </c>
      <c r="F185" t="str">
        <f>"999"</f>
        <v>999</v>
      </c>
      <c r="G185">
        <v>5</v>
      </c>
      <c r="H185" t="str">
        <f>"99"</f>
        <v>99</v>
      </c>
      <c r="I185" t="str">
        <f t="shared" si="37"/>
        <v>0</v>
      </c>
      <c r="J185" t="str">
        <f>"03"</f>
        <v>03</v>
      </c>
      <c r="K185">
        <v>20150501</v>
      </c>
      <c r="L185" t="str">
        <f>"002682"</f>
        <v>002682</v>
      </c>
      <c r="M185" t="str">
        <f>"00673"</f>
        <v>00673</v>
      </c>
      <c r="N185" t="s">
        <v>159</v>
      </c>
      <c r="O185" s="1">
        <v>6485.64</v>
      </c>
      <c r="Q185" t="s">
        <v>33</v>
      </c>
      <c r="R185" t="s">
        <v>34</v>
      </c>
      <c r="S185" t="s">
        <v>35</v>
      </c>
      <c r="T185" t="s">
        <v>35</v>
      </c>
      <c r="U185" t="s">
        <v>34</v>
      </c>
      <c r="V185" t="str">
        <f>""</f>
        <v/>
      </c>
      <c r="W185">
        <v>20150501</v>
      </c>
      <c r="X185" t="s">
        <v>160</v>
      </c>
      <c r="Y185" t="s">
        <v>161</v>
      </c>
      <c r="Z185" t="s">
        <v>161</v>
      </c>
      <c r="AA185">
        <v>0</v>
      </c>
      <c r="AB185" t="s">
        <v>152</v>
      </c>
      <c r="AC185" t="s">
        <v>143</v>
      </c>
      <c r="AD185" t="s">
        <v>144</v>
      </c>
      <c r="AE185" t="str">
        <f t="shared" si="46"/>
        <v>04</v>
      </c>
      <c r="AF185" t="s">
        <v>40</v>
      </c>
    </row>
    <row r="186" spans="1:32" x14ac:dyDescent="0.25">
      <c r="A186">
        <v>5</v>
      </c>
      <c r="B186">
        <v>429</v>
      </c>
      <c r="C186" t="str">
        <f>"71"</f>
        <v>71</v>
      </c>
      <c r="D186">
        <v>6521</v>
      </c>
      <c r="E186" t="str">
        <f t="shared" si="44"/>
        <v>00</v>
      </c>
      <c r="F186" t="str">
        <f>"999"</f>
        <v>999</v>
      </c>
      <c r="G186">
        <v>5</v>
      </c>
      <c r="H186" t="str">
        <f>"99"</f>
        <v>99</v>
      </c>
      <c r="I186" t="str">
        <f t="shared" si="37"/>
        <v>0</v>
      </c>
      <c r="J186" t="str">
        <f>"04"</f>
        <v>04</v>
      </c>
      <c r="K186">
        <v>20150501</v>
      </c>
      <c r="L186" t="str">
        <f>"002682"</f>
        <v>002682</v>
      </c>
      <c r="M186" t="str">
        <f>"00673"</f>
        <v>00673</v>
      </c>
      <c r="N186" t="s">
        <v>159</v>
      </c>
      <c r="O186" s="1">
        <v>9916.67</v>
      </c>
      <c r="Q186" t="s">
        <v>33</v>
      </c>
      <c r="R186" t="s">
        <v>34</v>
      </c>
      <c r="S186" t="s">
        <v>35</v>
      </c>
      <c r="T186" t="s">
        <v>35</v>
      </c>
      <c r="U186" t="s">
        <v>34</v>
      </c>
      <c r="V186" t="str">
        <f>""</f>
        <v/>
      </c>
      <c r="W186">
        <v>20150501</v>
      </c>
      <c r="X186" t="s">
        <v>162</v>
      </c>
      <c r="Y186" t="s">
        <v>200</v>
      </c>
      <c r="Z186" t="s">
        <v>200</v>
      </c>
      <c r="AA186">
        <v>0</v>
      </c>
      <c r="AB186" t="s">
        <v>152</v>
      </c>
      <c r="AC186" t="s">
        <v>143</v>
      </c>
      <c r="AD186" t="s">
        <v>144</v>
      </c>
      <c r="AE186" t="str">
        <f t="shared" si="46"/>
        <v>04</v>
      </c>
      <c r="AF186" t="s">
        <v>40</v>
      </c>
    </row>
    <row r="187" spans="1:32" x14ac:dyDescent="0.25">
      <c r="A187">
        <v>5</v>
      </c>
      <c r="B187">
        <v>420</v>
      </c>
      <c r="C187" t="str">
        <f>"11"</f>
        <v>11</v>
      </c>
      <c r="D187">
        <v>6219</v>
      </c>
      <c r="E187" t="str">
        <f t="shared" si="44"/>
        <v>00</v>
      </c>
      <c r="F187" t="str">
        <f>"101"</f>
        <v>101</v>
      </c>
      <c r="G187">
        <v>5</v>
      </c>
      <c r="H187" t="str">
        <f>"11"</f>
        <v>11</v>
      </c>
      <c r="I187" t="str">
        <f t="shared" si="37"/>
        <v>0</v>
      </c>
      <c r="J187" t="str">
        <f>"00"</f>
        <v>00</v>
      </c>
      <c r="K187">
        <v>20150408</v>
      </c>
      <c r="L187" t="str">
        <f>"002683"</f>
        <v>002683</v>
      </c>
      <c r="M187" t="str">
        <f>"00686"</f>
        <v>00686</v>
      </c>
      <c r="N187" t="s">
        <v>146</v>
      </c>
      <c r="O187" s="1">
        <v>1127.4100000000001</v>
      </c>
      <c r="Q187" t="s">
        <v>33</v>
      </c>
      <c r="R187" t="s">
        <v>34</v>
      </c>
      <c r="S187" t="s">
        <v>35</v>
      </c>
      <c r="T187" t="s">
        <v>35</v>
      </c>
      <c r="U187" t="s">
        <v>34</v>
      </c>
      <c r="V187" t="str">
        <f>""</f>
        <v/>
      </c>
      <c r="W187">
        <v>20150501</v>
      </c>
      <c r="X187" t="s">
        <v>147</v>
      </c>
      <c r="Y187" t="s">
        <v>148</v>
      </c>
      <c r="Z187" t="s">
        <v>148</v>
      </c>
      <c r="AA187">
        <v>0</v>
      </c>
      <c r="AB187" t="s">
        <v>142</v>
      </c>
      <c r="AC187" t="s">
        <v>41</v>
      </c>
      <c r="AD187" t="s">
        <v>144</v>
      </c>
      <c r="AE187" t="str">
        <f t="shared" si="46"/>
        <v>04</v>
      </c>
      <c r="AF187" t="s">
        <v>40</v>
      </c>
    </row>
    <row r="188" spans="1:32" x14ac:dyDescent="0.25">
      <c r="A188">
        <v>5</v>
      </c>
      <c r="B188">
        <v>420</v>
      </c>
      <c r="C188" t="str">
        <f>"34"</f>
        <v>34</v>
      </c>
      <c r="D188">
        <v>6219</v>
      </c>
      <c r="E188" t="str">
        <f t="shared" si="44"/>
        <v>00</v>
      </c>
      <c r="F188" t="str">
        <f>"999"</f>
        <v>999</v>
      </c>
      <c r="G188">
        <v>5</v>
      </c>
      <c r="H188" t="str">
        <f>"99"</f>
        <v>99</v>
      </c>
      <c r="I188" t="str">
        <f t="shared" si="37"/>
        <v>0</v>
      </c>
      <c r="J188" t="str">
        <f>"00"</f>
        <v>00</v>
      </c>
      <c r="K188">
        <v>20150421</v>
      </c>
      <c r="L188" t="str">
        <f>"002684"</f>
        <v>002684</v>
      </c>
      <c r="M188" t="str">
        <f>"00516"</f>
        <v>00516</v>
      </c>
      <c r="N188" t="s">
        <v>139</v>
      </c>
      <c r="O188" s="1">
        <v>1990</v>
      </c>
      <c r="Q188" t="s">
        <v>33</v>
      </c>
      <c r="R188" t="s">
        <v>34</v>
      </c>
      <c r="S188" t="s">
        <v>35</v>
      </c>
      <c r="T188" t="s">
        <v>35</v>
      </c>
      <c r="U188" t="s">
        <v>34</v>
      </c>
      <c r="V188" t="str">
        <f>""</f>
        <v/>
      </c>
      <c r="W188">
        <v>20150501</v>
      </c>
      <c r="X188" t="s">
        <v>140</v>
      </c>
      <c r="Y188" t="s">
        <v>179</v>
      </c>
      <c r="Z188" t="s">
        <v>179</v>
      </c>
      <c r="AA188">
        <v>0</v>
      </c>
      <c r="AB188" t="s">
        <v>142</v>
      </c>
      <c r="AC188" t="s">
        <v>143</v>
      </c>
      <c r="AD188" t="s">
        <v>144</v>
      </c>
      <c r="AE188" t="str">
        <f t="shared" si="46"/>
        <v>04</v>
      </c>
      <c r="AF188" t="s">
        <v>40</v>
      </c>
    </row>
    <row r="189" spans="1:32" x14ac:dyDescent="0.25">
      <c r="A189">
        <v>5</v>
      </c>
      <c r="B189">
        <v>429</v>
      </c>
      <c r="C189" t="str">
        <f>"71"</f>
        <v>71</v>
      </c>
      <c r="D189">
        <v>6521</v>
      </c>
      <c r="E189" t="str">
        <f t="shared" si="44"/>
        <v>00</v>
      </c>
      <c r="F189" t="str">
        <f>"999"</f>
        <v>999</v>
      </c>
      <c r="G189">
        <v>5</v>
      </c>
      <c r="H189" t="str">
        <f>"98"</f>
        <v>98</v>
      </c>
      <c r="I189" t="str">
        <f t="shared" si="37"/>
        <v>0</v>
      </c>
      <c r="J189" t="str">
        <f>"00"</f>
        <v>00</v>
      </c>
      <c r="K189">
        <v>20150504</v>
      </c>
      <c r="L189" t="str">
        <f>"002685"</f>
        <v>002685</v>
      </c>
      <c r="M189" t="str">
        <f>"00049"</f>
        <v>00049</v>
      </c>
      <c r="N189" t="s">
        <v>201</v>
      </c>
      <c r="O189" s="1">
        <v>12784.83</v>
      </c>
      <c r="Q189" t="s">
        <v>33</v>
      </c>
      <c r="R189" t="s">
        <v>34</v>
      </c>
      <c r="S189" t="s">
        <v>35</v>
      </c>
      <c r="T189" t="s">
        <v>35</v>
      </c>
      <c r="U189" t="s">
        <v>34</v>
      </c>
      <c r="V189" t="str">
        <f>""</f>
        <v/>
      </c>
      <c r="W189">
        <v>20150529</v>
      </c>
      <c r="X189" t="s">
        <v>150</v>
      </c>
      <c r="Y189" t="s">
        <v>151</v>
      </c>
      <c r="Z189" t="s">
        <v>151</v>
      </c>
      <c r="AA189">
        <v>0</v>
      </c>
      <c r="AB189" t="s">
        <v>152</v>
      </c>
      <c r="AC189" t="s">
        <v>143</v>
      </c>
      <c r="AD189" t="s">
        <v>144</v>
      </c>
      <c r="AE189" t="str">
        <f t="shared" ref="AE189:AE200" si="47">"05"</f>
        <v>05</v>
      </c>
      <c r="AF189" t="s">
        <v>40</v>
      </c>
    </row>
    <row r="190" spans="1:32" x14ac:dyDescent="0.25">
      <c r="A190">
        <v>5</v>
      </c>
      <c r="B190">
        <v>429</v>
      </c>
      <c r="C190" t="str">
        <f>"71"</f>
        <v>71</v>
      </c>
      <c r="D190">
        <v>6521</v>
      </c>
      <c r="E190" t="str">
        <f t="shared" si="44"/>
        <v>00</v>
      </c>
      <c r="F190" t="str">
        <f>"999"</f>
        <v>999</v>
      </c>
      <c r="G190">
        <v>5</v>
      </c>
      <c r="H190" t="str">
        <f>"98"</f>
        <v>98</v>
      </c>
      <c r="I190" t="str">
        <f t="shared" si="37"/>
        <v>0</v>
      </c>
      <c r="J190" t="str">
        <f>"01"</f>
        <v>01</v>
      </c>
      <c r="K190">
        <v>20150504</v>
      </c>
      <c r="L190" t="str">
        <f>"002685"</f>
        <v>002685</v>
      </c>
      <c r="M190" t="str">
        <f>"00049"</f>
        <v>00049</v>
      </c>
      <c r="N190" t="s">
        <v>201</v>
      </c>
      <c r="O190" s="1">
        <v>3962.57</v>
      </c>
      <c r="Q190" t="s">
        <v>33</v>
      </c>
      <c r="R190" t="s">
        <v>34</v>
      </c>
      <c r="S190" t="s">
        <v>35</v>
      </c>
      <c r="T190" t="s">
        <v>35</v>
      </c>
      <c r="U190" t="s">
        <v>34</v>
      </c>
      <c r="V190" t="str">
        <f>""</f>
        <v/>
      </c>
      <c r="W190">
        <v>20150529</v>
      </c>
      <c r="X190" t="s">
        <v>153</v>
      </c>
      <c r="Y190" t="s">
        <v>154</v>
      </c>
      <c r="Z190" t="s">
        <v>154</v>
      </c>
      <c r="AA190">
        <v>0</v>
      </c>
      <c r="AB190" t="s">
        <v>152</v>
      </c>
      <c r="AC190" t="s">
        <v>143</v>
      </c>
      <c r="AD190" t="s">
        <v>144</v>
      </c>
      <c r="AE190" t="str">
        <f t="shared" si="47"/>
        <v>05</v>
      </c>
      <c r="AF190" t="s">
        <v>40</v>
      </c>
    </row>
    <row r="191" spans="1:32" x14ac:dyDescent="0.25">
      <c r="A191">
        <v>5</v>
      </c>
      <c r="B191">
        <v>429</v>
      </c>
      <c r="C191" t="str">
        <f>"71"</f>
        <v>71</v>
      </c>
      <c r="D191">
        <v>6521</v>
      </c>
      <c r="E191" t="str">
        <f t="shared" si="44"/>
        <v>00</v>
      </c>
      <c r="F191" t="str">
        <f>"999"</f>
        <v>999</v>
      </c>
      <c r="G191">
        <v>5</v>
      </c>
      <c r="H191" t="str">
        <f>"99"</f>
        <v>99</v>
      </c>
      <c r="I191" t="str">
        <f t="shared" si="37"/>
        <v>0</v>
      </c>
      <c r="J191" t="str">
        <f>"00"</f>
        <v>00</v>
      </c>
      <c r="K191">
        <v>20150504</v>
      </c>
      <c r="L191" t="str">
        <f>"002685"</f>
        <v>002685</v>
      </c>
      <c r="M191" t="str">
        <f>"00049"</f>
        <v>00049</v>
      </c>
      <c r="N191" t="s">
        <v>201</v>
      </c>
      <c r="O191">
        <v>265.8</v>
      </c>
      <c r="Q191" t="s">
        <v>33</v>
      </c>
      <c r="R191" t="s">
        <v>34</v>
      </c>
      <c r="S191" t="s">
        <v>35</v>
      </c>
      <c r="T191" t="s">
        <v>35</v>
      </c>
      <c r="U191" t="s">
        <v>34</v>
      </c>
      <c r="V191" t="str">
        <f>""</f>
        <v/>
      </c>
      <c r="W191">
        <v>20150529</v>
      </c>
      <c r="X191" t="s">
        <v>155</v>
      </c>
      <c r="Y191" t="s">
        <v>156</v>
      </c>
      <c r="Z191" t="s">
        <v>156</v>
      </c>
      <c r="AA191">
        <v>0</v>
      </c>
      <c r="AB191" t="s">
        <v>152</v>
      </c>
      <c r="AC191" t="s">
        <v>143</v>
      </c>
      <c r="AD191" t="s">
        <v>144</v>
      </c>
      <c r="AE191" t="str">
        <f t="shared" si="47"/>
        <v>05</v>
      </c>
      <c r="AF191" t="s">
        <v>40</v>
      </c>
    </row>
    <row r="192" spans="1:32" x14ac:dyDescent="0.25">
      <c r="A192">
        <v>5</v>
      </c>
      <c r="B192">
        <v>429</v>
      </c>
      <c r="C192" t="str">
        <f>"71"</f>
        <v>71</v>
      </c>
      <c r="D192">
        <v>6521</v>
      </c>
      <c r="E192" t="str">
        <f t="shared" si="44"/>
        <v>00</v>
      </c>
      <c r="F192" t="str">
        <f>"999"</f>
        <v>999</v>
      </c>
      <c r="G192">
        <v>5</v>
      </c>
      <c r="H192" t="str">
        <f>"99"</f>
        <v>99</v>
      </c>
      <c r="I192" t="str">
        <f t="shared" si="37"/>
        <v>0</v>
      </c>
      <c r="J192" t="str">
        <f>"02"</f>
        <v>02</v>
      </c>
      <c r="K192">
        <v>20150504</v>
      </c>
      <c r="L192" t="str">
        <f>"002685"</f>
        <v>002685</v>
      </c>
      <c r="M192" t="str">
        <f>"00049"</f>
        <v>00049</v>
      </c>
      <c r="N192" t="s">
        <v>201</v>
      </c>
      <c r="O192" s="1">
        <v>1774.9</v>
      </c>
      <c r="Q192" t="s">
        <v>33</v>
      </c>
      <c r="R192" t="s">
        <v>34</v>
      </c>
      <c r="S192" t="s">
        <v>35</v>
      </c>
      <c r="T192" t="s">
        <v>35</v>
      </c>
      <c r="U192" t="s">
        <v>34</v>
      </c>
      <c r="V192" t="str">
        <f>""</f>
        <v/>
      </c>
      <c r="W192">
        <v>20150529</v>
      </c>
      <c r="X192" t="s">
        <v>157</v>
      </c>
      <c r="Y192" t="s">
        <v>158</v>
      </c>
      <c r="Z192" t="s">
        <v>158</v>
      </c>
      <c r="AA192">
        <v>0</v>
      </c>
      <c r="AB192" t="s">
        <v>152</v>
      </c>
      <c r="AC192" t="s">
        <v>143</v>
      </c>
      <c r="AD192" t="s">
        <v>144</v>
      </c>
      <c r="AE192" t="str">
        <f t="shared" si="47"/>
        <v>05</v>
      </c>
      <c r="AF192" t="s">
        <v>40</v>
      </c>
    </row>
    <row r="193" spans="1:32" x14ac:dyDescent="0.25">
      <c r="A193">
        <v>5</v>
      </c>
      <c r="B193">
        <v>420</v>
      </c>
      <c r="C193" t="str">
        <f>"41"</f>
        <v>41</v>
      </c>
      <c r="D193">
        <v>6499</v>
      </c>
      <c r="E193" t="str">
        <f t="shared" si="44"/>
        <v>00</v>
      </c>
      <c r="F193" t="str">
        <f>"750"</f>
        <v>750</v>
      </c>
      <c r="G193">
        <v>5</v>
      </c>
      <c r="H193" t="str">
        <f>"99"</f>
        <v>99</v>
      </c>
      <c r="I193" t="str">
        <f t="shared" si="37"/>
        <v>0</v>
      </c>
      <c r="J193" t="str">
        <f>"00"</f>
        <v>00</v>
      </c>
      <c r="K193">
        <v>20150504</v>
      </c>
      <c r="L193" t="str">
        <f>"002686"</f>
        <v>002686</v>
      </c>
      <c r="M193" t="str">
        <f>"00673"</f>
        <v>00673</v>
      </c>
      <c r="N193" t="s">
        <v>159</v>
      </c>
      <c r="O193">
        <v>13</v>
      </c>
      <c r="Q193" t="s">
        <v>33</v>
      </c>
      <c r="R193" t="s">
        <v>34</v>
      </c>
      <c r="S193" t="s">
        <v>35</v>
      </c>
      <c r="T193" t="s">
        <v>35</v>
      </c>
      <c r="U193" t="s">
        <v>34</v>
      </c>
      <c r="V193" t="str">
        <f>""</f>
        <v/>
      </c>
      <c r="W193">
        <v>20150529</v>
      </c>
      <c r="X193" t="s">
        <v>168</v>
      </c>
      <c r="Y193" t="s">
        <v>171</v>
      </c>
      <c r="Z193" t="s">
        <v>171</v>
      </c>
      <c r="AA193">
        <v>0</v>
      </c>
      <c r="AB193" t="s">
        <v>142</v>
      </c>
      <c r="AC193" t="s">
        <v>170</v>
      </c>
      <c r="AD193" t="s">
        <v>144</v>
      </c>
      <c r="AE193" t="str">
        <f t="shared" si="47"/>
        <v>05</v>
      </c>
      <c r="AF193" t="s">
        <v>40</v>
      </c>
    </row>
    <row r="194" spans="1:32" x14ac:dyDescent="0.25">
      <c r="A194">
        <v>5</v>
      </c>
      <c r="B194">
        <v>429</v>
      </c>
      <c r="C194" t="str">
        <f>"71"</f>
        <v>71</v>
      </c>
      <c r="D194">
        <v>6521</v>
      </c>
      <c r="E194" t="str">
        <f t="shared" si="44"/>
        <v>00</v>
      </c>
      <c r="F194" t="str">
        <f>"999"</f>
        <v>999</v>
      </c>
      <c r="G194">
        <v>5</v>
      </c>
      <c r="H194" t="str">
        <f>"99"</f>
        <v>99</v>
      </c>
      <c r="I194" t="str">
        <f t="shared" ref="I194:I257" si="48">"0"</f>
        <v>0</v>
      </c>
      <c r="J194" t="str">
        <f>"03"</f>
        <v>03</v>
      </c>
      <c r="K194">
        <v>20150504</v>
      </c>
      <c r="L194" t="str">
        <f>"002686"</f>
        <v>002686</v>
      </c>
      <c r="M194" t="str">
        <f>"00673"</f>
        <v>00673</v>
      </c>
      <c r="N194" t="s">
        <v>159</v>
      </c>
      <c r="O194" s="1">
        <v>9916.67</v>
      </c>
      <c r="Q194" t="s">
        <v>33</v>
      </c>
      <c r="R194" t="s">
        <v>34</v>
      </c>
      <c r="S194" t="s">
        <v>35</v>
      </c>
      <c r="T194" t="s">
        <v>35</v>
      </c>
      <c r="U194" t="s">
        <v>34</v>
      </c>
      <c r="V194" t="str">
        <f>""</f>
        <v/>
      </c>
      <c r="W194">
        <v>20150529</v>
      </c>
      <c r="X194" t="s">
        <v>160</v>
      </c>
      <c r="Y194" t="s">
        <v>161</v>
      </c>
      <c r="Z194" t="s">
        <v>161</v>
      </c>
      <c r="AA194">
        <v>0</v>
      </c>
      <c r="AB194" t="s">
        <v>152</v>
      </c>
      <c r="AC194" t="s">
        <v>143</v>
      </c>
      <c r="AD194" t="s">
        <v>144</v>
      </c>
      <c r="AE194" t="str">
        <f t="shared" si="47"/>
        <v>05</v>
      </c>
      <c r="AF194" t="s">
        <v>40</v>
      </c>
    </row>
    <row r="195" spans="1:32" x14ac:dyDescent="0.25">
      <c r="A195">
        <v>5</v>
      </c>
      <c r="B195">
        <v>429</v>
      </c>
      <c r="C195" t="str">
        <f>"71"</f>
        <v>71</v>
      </c>
      <c r="D195">
        <v>6521</v>
      </c>
      <c r="E195" t="str">
        <f t="shared" si="44"/>
        <v>00</v>
      </c>
      <c r="F195" t="str">
        <f>"999"</f>
        <v>999</v>
      </c>
      <c r="G195">
        <v>5</v>
      </c>
      <c r="H195" t="str">
        <f>"99"</f>
        <v>99</v>
      </c>
      <c r="I195" t="str">
        <f t="shared" si="48"/>
        <v>0</v>
      </c>
      <c r="J195" t="str">
        <f>"04"</f>
        <v>04</v>
      </c>
      <c r="K195">
        <v>20150504</v>
      </c>
      <c r="L195" t="str">
        <f>"002686"</f>
        <v>002686</v>
      </c>
      <c r="M195" t="str">
        <f>"00673"</f>
        <v>00673</v>
      </c>
      <c r="N195" t="s">
        <v>159</v>
      </c>
      <c r="O195" s="1">
        <v>6485.64</v>
      </c>
      <c r="Q195" t="s">
        <v>33</v>
      </c>
      <c r="R195" t="s">
        <v>34</v>
      </c>
      <c r="S195" t="s">
        <v>35</v>
      </c>
      <c r="T195" t="s">
        <v>35</v>
      </c>
      <c r="U195" t="s">
        <v>34</v>
      </c>
      <c r="V195" t="str">
        <f>""</f>
        <v/>
      </c>
      <c r="W195">
        <v>20150529</v>
      </c>
      <c r="X195" t="s">
        <v>162</v>
      </c>
      <c r="Y195" t="s">
        <v>163</v>
      </c>
      <c r="Z195" t="s">
        <v>163</v>
      </c>
      <c r="AA195">
        <v>0</v>
      </c>
      <c r="AB195" t="s">
        <v>152</v>
      </c>
      <c r="AC195" t="s">
        <v>143</v>
      </c>
      <c r="AD195" t="s">
        <v>144</v>
      </c>
      <c r="AE195" t="str">
        <f t="shared" si="47"/>
        <v>05</v>
      </c>
      <c r="AF195" t="s">
        <v>40</v>
      </c>
    </row>
    <row r="196" spans="1:32" x14ac:dyDescent="0.25">
      <c r="A196">
        <v>5</v>
      </c>
      <c r="B196">
        <v>420</v>
      </c>
      <c r="C196" t="str">
        <f>"11"</f>
        <v>11</v>
      </c>
      <c r="D196">
        <v>6219</v>
      </c>
      <c r="E196" t="str">
        <f t="shared" si="44"/>
        <v>00</v>
      </c>
      <c r="F196" t="str">
        <f>"001"</f>
        <v>001</v>
      </c>
      <c r="G196">
        <v>5</v>
      </c>
      <c r="H196" t="str">
        <f>"11"</f>
        <v>11</v>
      </c>
      <c r="I196" t="str">
        <f t="shared" si="48"/>
        <v>0</v>
      </c>
      <c r="J196" t="str">
        <f t="shared" ref="J196:J201" si="49">"00"</f>
        <v>00</v>
      </c>
      <c r="K196">
        <v>20150506</v>
      </c>
      <c r="L196" t="str">
        <f>"002687"</f>
        <v>002687</v>
      </c>
      <c r="M196" t="str">
        <f>"00704"</f>
        <v>00704</v>
      </c>
      <c r="N196" t="s">
        <v>164</v>
      </c>
      <c r="O196">
        <v>714.94</v>
      </c>
      <c r="Q196" t="s">
        <v>33</v>
      </c>
      <c r="R196" t="s">
        <v>34</v>
      </c>
      <c r="S196" t="s">
        <v>35</v>
      </c>
      <c r="T196" t="s">
        <v>35</v>
      </c>
      <c r="U196" t="s">
        <v>34</v>
      </c>
      <c r="V196" t="str">
        <f>""</f>
        <v/>
      </c>
      <c r="W196">
        <v>20150529</v>
      </c>
      <c r="X196" t="s">
        <v>165</v>
      </c>
      <c r="Y196" t="s">
        <v>141</v>
      </c>
      <c r="Z196" t="s">
        <v>141</v>
      </c>
      <c r="AA196">
        <v>0</v>
      </c>
      <c r="AB196" t="s">
        <v>142</v>
      </c>
      <c r="AC196" t="s">
        <v>41</v>
      </c>
      <c r="AD196" t="s">
        <v>144</v>
      </c>
      <c r="AE196" t="str">
        <f t="shared" si="47"/>
        <v>05</v>
      </c>
      <c r="AF196" t="s">
        <v>40</v>
      </c>
    </row>
    <row r="197" spans="1:32" x14ac:dyDescent="0.25">
      <c r="A197">
        <v>5</v>
      </c>
      <c r="B197">
        <v>420</v>
      </c>
      <c r="C197" t="str">
        <f>"11"</f>
        <v>11</v>
      </c>
      <c r="D197">
        <v>6219</v>
      </c>
      <c r="E197" t="str">
        <f t="shared" si="44"/>
        <v>00</v>
      </c>
      <c r="F197" t="str">
        <f>"999"</f>
        <v>999</v>
      </c>
      <c r="G197">
        <v>5</v>
      </c>
      <c r="H197" t="str">
        <f>"11"</f>
        <v>11</v>
      </c>
      <c r="I197" t="str">
        <f t="shared" si="48"/>
        <v>0</v>
      </c>
      <c r="J197" t="str">
        <f t="shared" si="49"/>
        <v>00</v>
      </c>
      <c r="K197">
        <v>20150506</v>
      </c>
      <c r="L197" t="str">
        <f>"002687"</f>
        <v>002687</v>
      </c>
      <c r="M197" t="str">
        <f>"00704"</f>
        <v>00704</v>
      </c>
      <c r="N197" t="s">
        <v>164</v>
      </c>
      <c r="O197" s="1">
        <v>1072.95</v>
      </c>
      <c r="Q197" t="s">
        <v>33</v>
      </c>
      <c r="R197" t="s">
        <v>34</v>
      </c>
      <c r="S197" t="s">
        <v>35</v>
      </c>
      <c r="T197" t="s">
        <v>35</v>
      </c>
      <c r="U197" t="s">
        <v>34</v>
      </c>
      <c r="V197" t="str">
        <f>""</f>
        <v/>
      </c>
      <c r="W197">
        <v>20150529</v>
      </c>
      <c r="X197" t="s">
        <v>166</v>
      </c>
      <c r="Y197" t="s">
        <v>141</v>
      </c>
      <c r="Z197" t="s">
        <v>141</v>
      </c>
      <c r="AA197">
        <v>0</v>
      </c>
      <c r="AB197" t="s">
        <v>142</v>
      </c>
      <c r="AC197" t="s">
        <v>143</v>
      </c>
      <c r="AD197" t="s">
        <v>144</v>
      </c>
      <c r="AE197" t="str">
        <f t="shared" si="47"/>
        <v>05</v>
      </c>
      <c r="AF197" t="s">
        <v>40</v>
      </c>
    </row>
    <row r="198" spans="1:32" x14ac:dyDescent="0.25">
      <c r="A198">
        <v>5</v>
      </c>
      <c r="B198">
        <v>420</v>
      </c>
      <c r="C198" t="str">
        <f>"11"</f>
        <v>11</v>
      </c>
      <c r="D198">
        <v>6219</v>
      </c>
      <c r="E198" t="str">
        <f t="shared" si="44"/>
        <v>00</v>
      </c>
      <c r="F198" t="str">
        <f>"101"</f>
        <v>101</v>
      </c>
      <c r="G198">
        <v>5</v>
      </c>
      <c r="H198" t="str">
        <f>"11"</f>
        <v>11</v>
      </c>
      <c r="I198" t="str">
        <f t="shared" si="48"/>
        <v>0</v>
      </c>
      <c r="J198" t="str">
        <f t="shared" si="49"/>
        <v>00</v>
      </c>
      <c r="K198">
        <v>20150507</v>
      </c>
      <c r="L198" t="str">
        <f>"002688"</f>
        <v>002688</v>
      </c>
      <c r="M198" t="str">
        <f>"00686"</f>
        <v>00686</v>
      </c>
      <c r="N198" t="s">
        <v>146</v>
      </c>
      <c r="O198">
        <v>585.83000000000004</v>
      </c>
      <c r="Q198" t="s">
        <v>33</v>
      </c>
      <c r="R198" t="s">
        <v>34</v>
      </c>
      <c r="S198" t="s">
        <v>35</v>
      </c>
      <c r="T198" t="s">
        <v>35</v>
      </c>
      <c r="U198" t="s">
        <v>34</v>
      </c>
      <c r="V198" t="str">
        <f>""</f>
        <v/>
      </c>
      <c r="W198">
        <v>20150529</v>
      </c>
      <c r="X198" t="s">
        <v>147</v>
      </c>
      <c r="Y198" t="s">
        <v>148</v>
      </c>
      <c r="Z198" t="s">
        <v>148</v>
      </c>
      <c r="AA198">
        <v>0</v>
      </c>
      <c r="AB198" t="s">
        <v>142</v>
      </c>
      <c r="AC198" t="s">
        <v>41</v>
      </c>
      <c r="AD198" t="s">
        <v>144</v>
      </c>
      <c r="AE198" t="str">
        <f t="shared" si="47"/>
        <v>05</v>
      </c>
      <c r="AF198" t="s">
        <v>40</v>
      </c>
    </row>
    <row r="199" spans="1:32" x14ac:dyDescent="0.25">
      <c r="A199">
        <v>5</v>
      </c>
      <c r="B199">
        <v>420</v>
      </c>
      <c r="C199" t="str">
        <f>"34"</f>
        <v>34</v>
      </c>
      <c r="D199">
        <v>6219</v>
      </c>
      <c r="E199" t="str">
        <f t="shared" si="44"/>
        <v>00</v>
      </c>
      <c r="F199" t="str">
        <f>"999"</f>
        <v>999</v>
      </c>
      <c r="G199">
        <v>5</v>
      </c>
      <c r="H199" t="str">
        <f>"99"</f>
        <v>99</v>
      </c>
      <c r="I199" t="str">
        <f t="shared" si="48"/>
        <v>0</v>
      </c>
      <c r="J199" t="str">
        <f t="shared" si="49"/>
        <v>00</v>
      </c>
      <c r="K199">
        <v>20150522</v>
      </c>
      <c r="L199" t="str">
        <f>"002689"</f>
        <v>002689</v>
      </c>
      <c r="M199" t="str">
        <f>"00516"</f>
        <v>00516</v>
      </c>
      <c r="N199" t="s">
        <v>139</v>
      </c>
      <c r="O199" s="1">
        <v>1710</v>
      </c>
      <c r="Q199" t="s">
        <v>33</v>
      </c>
      <c r="R199" t="s">
        <v>34</v>
      </c>
      <c r="S199" t="s">
        <v>35</v>
      </c>
      <c r="T199" t="s">
        <v>35</v>
      </c>
      <c r="U199" t="s">
        <v>34</v>
      </c>
      <c r="V199" t="str">
        <f>""</f>
        <v/>
      </c>
      <c r="W199">
        <v>20150529</v>
      </c>
      <c r="X199" t="s">
        <v>140</v>
      </c>
      <c r="Y199" t="s">
        <v>179</v>
      </c>
      <c r="Z199" t="s">
        <v>179</v>
      </c>
      <c r="AA199">
        <v>0</v>
      </c>
      <c r="AB199" t="s">
        <v>142</v>
      </c>
      <c r="AC199" t="s">
        <v>143</v>
      </c>
      <c r="AD199" t="s">
        <v>144</v>
      </c>
      <c r="AE199" t="str">
        <f t="shared" si="47"/>
        <v>05</v>
      </c>
      <c r="AF199" t="s">
        <v>40</v>
      </c>
    </row>
    <row r="200" spans="1:32" x14ac:dyDescent="0.25">
      <c r="A200">
        <v>5</v>
      </c>
      <c r="B200">
        <v>420</v>
      </c>
      <c r="C200" t="str">
        <f>"41"</f>
        <v>41</v>
      </c>
      <c r="D200">
        <v>6499</v>
      </c>
      <c r="E200" t="str">
        <f t="shared" si="44"/>
        <v>00</v>
      </c>
      <c r="F200" t="str">
        <f>"750"</f>
        <v>750</v>
      </c>
      <c r="G200">
        <v>5</v>
      </c>
      <c r="H200" t="str">
        <f>"99"</f>
        <v>99</v>
      </c>
      <c r="I200" t="str">
        <f t="shared" si="48"/>
        <v>0</v>
      </c>
      <c r="J200" t="str">
        <f t="shared" si="49"/>
        <v>00</v>
      </c>
      <c r="K200">
        <v>20150528</v>
      </c>
      <c r="L200" t="str">
        <f>"002690"</f>
        <v>002690</v>
      </c>
      <c r="M200" t="str">
        <f>"00548"</f>
        <v>00548</v>
      </c>
      <c r="N200" t="s">
        <v>167</v>
      </c>
      <c r="O200">
        <v>75</v>
      </c>
      <c r="Q200" t="s">
        <v>33</v>
      </c>
      <c r="R200" t="s">
        <v>34</v>
      </c>
      <c r="S200" t="s">
        <v>35</v>
      </c>
      <c r="T200" t="s">
        <v>35</v>
      </c>
      <c r="U200" t="s">
        <v>34</v>
      </c>
      <c r="V200" t="str">
        <f>""</f>
        <v/>
      </c>
      <c r="W200">
        <v>20150602</v>
      </c>
      <c r="X200" t="s">
        <v>168</v>
      </c>
      <c r="Y200" t="s">
        <v>169</v>
      </c>
      <c r="Z200" t="s">
        <v>169</v>
      </c>
      <c r="AA200">
        <v>0</v>
      </c>
      <c r="AB200" t="s">
        <v>142</v>
      </c>
      <c r="AC200" t="s">
        <v>170</v>
      </c>
      <c r="AD200" t="s">
        <v>144</v>
      </c>
      <c r="AE200" t="str">
        <f t="shared" si="47"/>
        <v>05</v>
      </c>
      <c r="AF200" t="s">
        <v>40</v>
      </c>
    </row>
    <row r="201" spans="1:32" x14ac:dyDescent="0.25">
      <c r="A201">
        <v>5</v>
      </c>
      <c r="B201">
        <v>429</v>
      </c>
      <c r="C201" t="str">
        <f>"71"</f>
        <v>71</v>
      </c>
      <c r="D201">
        <v>6521</v>
      </c>
      <c r="E201" t="str">
        <f t="shared" si="44"/>
        <v>00</v>
      </c>
      <c r="F201" t="str">
        <f>"999"</f>
        <v>999</v>
      </c>
      <c r="G201">
        <v>5</v>
      </c>
      <c r="H201" t="str">
        <f>"98"</f>
        <v>98</v>
      </c>
      <c r="I201" t="str">
        <f t="shared" si="48"/>
        <v>0</v>
      </c>
      <c r="J201" t="str">
        <f t="shared" si="49"/>
        <v>00</v>
      </c>
      <c r="K201">
        <v>20150601</v>
      </c>
      <c r="L201" t="str">
        <f>"002691"</f>
        <v>002691</v>
      </c>
      <c r="M201" t="str">
        <f>"00049"</f>
        <v>00049</v>
      </c>
      <c r="N201" t="s">
        <v>201</v>
      </c>
      <c r="O201" s="1">
        <v>12784.83</v>
      </c>
      <c r="Q201" t="s">
        <v>33</v>
      </c>
      <c r="R201" t="s">
        <v>34</v>
      </c>
      <c r="S201" t="s">
        <v>35</v>
      </c>
      <c r="T201" t="s">
        <v>35</v>
      </c>
      <c r="U201" t="s">
        <v>34</v>
      </c>
      <c r="V201" t="str">
        <f>""</f>
        <v/>
      </c>
      <c r="W201">
        <v>20150706</v>
      </c>
      <c r="X201" t="s">
        <v>150</v>
      </c>
      <c r="Y201" t="s">
        <v>151</v>
      </c>
      <c r="Z201" t="s">
        <v>151</v>
      </c>
      <c r="AA201">
        <v>0</v>
      </c>
      <c r="AB201" t="s">
        <v>152</v>
      </c>
      <c r="AC201" t="s">
        <v>143</v>
      </c>
      <c r="AD201" t="s">
        <v>144</v>
      </c>
      <c r="AE201" t="str">
        <f t="shared" ref="AE201:AE209" si="50">"06"</f>
        <v>06</v>
      </c>
      <c r="AF201" t="s">
        <v>40</v>
      </c>
    </row>
    <row r="202" spans="1:32" x14ac:dyDescent="0.25">
      <c r="A202">
        <v>5</v>
      </c>
      <c r="B202">
        <v>429</v>
      </c>
      <c r="C202" t="str">
        <f>"71"</f>
        <v>71</v>
      </c>
      <c r="D202">
        <v>6521</v>
      </c>
      <c r="E202" t="str">
        <f t="shared" si="44"/>
        <v>00</v>
      </c>
      <c r="F202" t="str">
        <f>"999"</f>
        <v>999</v>
      </c>
      <c r="G202">
        <v>5</v>
      </c>
      <c r="H202" t="str">
        <f>"98"</f>
        <v>98</v>
      </c>
      <c r="I202" t="str">
        <f t="shared" si="48"/>
        <v>0</v>
      </c>
      <c r="J202" t="str">
        <f>"01"</f>
        <v>01</v>
      </c>
      <c r="K202">
        <v>20150601</v>
      </c>
      <c r="L202" t="str">
        <f>"002691"</f>
        <v>002691</v>
      </c>
      <c r="M202" t="str">
        <f>"00049"</f>
        <v>00049</v>
      </c>
      <c r="N202" t="s">
        <v>201</v>
      </c>
      <c r="O202" s="1">
        <v>3962.57</v>
      </c>
      <c r="Q202" t="s">
        <v>33</v>
      </c>
      <c r="R202" t="s">
        <v>34</v>
      </c>
      <c r="S202" t="s">
        <v>35</v>
      </c>
      <c r="T202" t="s">
        <v>35</v>
      </c>
      <c r="U202" t="s">
        <v>34</v>
      </c>
      <c r="V202" t="str">
        <f>""</f>
        <v/>
      </c>
      <c r="W202">
        <v>20150706</v>
      </c>
      <c r="X202" t="s">
        <v>153</v>
      </c>
      <c r="Y202" t="s">
        <v>154</v>
      </c>
      <c r="Z202" t="s">
        <v>154</v>
      </c>
      <c r="AA202">
        <v>0</v>
      </c>
      <c r="AB202" t="s">
        <v>152</v>
      </c>
      <c r="AC202" t="s">
        <v>143</v>
      </c>
      <c r="AD202" t="s">
        <v>144</v>
      </c>
      <c r="AE202" t="str">
        <f t="shared" si="50"/>
        <v>06</v>
      </c>
      <c r="AF202" t="s">
        <v>40</v>
      </c>
    </row>
    <row r="203" spans="1:32" x14ac:dyDescent="0.25">
      <c r="A203">
        <v>5</v>
      </c>
      <c r="B203">
        <v>429</v>
      </c>
      <c r="C203" t="str">
        <f>"71"</f>
        <v>71</v>
      </c>
      <c r="D203">
        <v>6521</v>
      </c>
      <c r="E203" t="str">
        <f t="shared" si="44"/>
        <v>00</v>
      </c>
      <c r="F203" t="str">
        <f>"999"</f>
        <v>999</v>
      </c>
      <c r="G203">
        <v>5</v>
      </c>
      <c r="H203" t="str">
        <f>"99"</f>
        <v>99</v>
      </c>
      <c r="I203" t="str">
        <f t="shared" si="48"/>
        <v>0</v>
      </c>
      <c r="J203" t="str">
        <f>"00"</f>
        <v>00</v>
      </c>
      <c r="K203">
        <v>20150601</v>
      </c>
      <c r="L203" t="str">
        <f>"002691"</f>
        <v>002691</v>
      </c>
      <c r="M203" t="str">
        <f>"00049"</f>
        <v>00049</v>
      </c>
      <c r="N203" t="s">
        <v>201</v>
      </c>
      <c r="O203">
        <v>265.8</v>
      </c>
      <c r="Q203" t="s">
        <v>33</v>
      </c>
      <c r="R203" t="s">
        <v>34</v>
      </c>
      <c r="S203" t="s">
        <v>35</v>
      </c>
      <c r="T203" t="s">
        <v>35</v>
      </c>
      <c r="U203" t="s">
        <v>34</v>
      </c>
      <c r="V203" t="str">
        <f>""</f>
        <v/>
      </c>
      <c r="W203">
        <v>20150706</v>
      </c>
      <c r="X203" t="s">
        <v>155</v>
      </c>
      <c r="Y203" t="s">
        <v>156</v>
      </c>
      <c r="Z203" t="s">
        <v>156</v>
      </c>
      <c r="AA203">
        <v>0</v>
      </c>
      <c r="AB203" t="s">
        <v>152</v>
      </c>
      <c r="AC203" t="s">
        <v>143</v>
      </c>
      <c r="AD203" t="s">
        <v>144</v>
      </c>
      <c r="AE203" t="str">
        <f t="shared" si="50"/>
        <v>06</v>
      </c>
      <c r="AF203" t="s">
        <v>40</v>
      </c>
    </row>
    <row r="204" spans="1:32" x14ac:dyDescent="0.25">
      <c r="A204">
        <v>5</v>
      </c>
      <c r="B204">
        <v>429</v>
      </c>
      <c r="C204" t="str">
        <f>"71"</f>
        <v>71</v>
      </c>
      <c r="D204">
        <v>6521</v>
      </c>
      <c r="E204" t="str">
        <f t="shared" si="44"/>
        <v>00</v>
      </c>
      <c r="F204" t="str">
        <f>"999"</f>
        <v>999</v>
      </c>
      <c r="G204">
        <v>5</v>
      </c>
      <c r="H204" t="str">
        <f>"99"</f>
        <v>99</v>
      </c>
      <c r="I204" t="str">
        <f t="shared" si="48"/>
        <v>0</v>
      </c>
      <c r="J204" t="str">
        <f>"02"</f>
        <v>02</v>
      </c>
      <c r="K204">
        <v>20150601</v>
      </c>
      <c r="L204" t="str">
        <f>"002691"</f>
        <v>002691</v>
      </c>
      <c r="M204" t="str">
        <f>"00049"</f>
        <v>00049</v>
      </c>
      <c r="N204" t="s">
        <v>201</v>
      </c>
      <c r="O204" s="1">
        <v>1774.9</v>
      </c>
      <c r="Q204" t="s">
        <v>33</v>
      </c>
      <c r="R204" t="s">
        <v>34</v>
      </c>
      <c r="S204" t="s">
        <v>35</v>
      </c>
      <c r="T204" t="s">
        <v>35</v>
      </c>
      <c r="U204" t="s">
        <v>34</v>
      </c>
      <c r="V204" t="str">
        <f>""</f>
        <v/>
      </c>
      <c r="W204">
        <v>20150706</v>
      </c>
      <c r="X204" t="s">
        <v>157</v>
      </c>
      <c r="Y204" t="s">
        <v>158</v>
      </c>
      <c r="Z204" t="s">
        <v>158</v>
      </c>
      <c r="AA204">
        <v>0</v>
      </c>
      <c r="AB204" t="s">
        <v>152</v>
      </c>
      <c r="AC204" t="s">
        <v>143</v>
      </c>
      <c r="AD204" t="s">
        <v>144</v>
      </c>
      <c r="AE204" t="str">
        <f t="shared" si="50"/>
        <v>06</v>
      </c>
      <c r="AF204" t="s">
        <v>40</v>
      </c>
    </row>
    <row r="205" spans="1:32" x14ac:dyDescent="0.25">
      <c r="A205">
        <v>5</v>
      </c>
      <c r="B205">
        <v>420</v>
      </c>
      <c r="C205" t="str">
        <f>"41"</f>
        <v>41</v>
      </c>
      <c r="D205">
        <v>6499</v>
      </c>
      <c r="E205" t="str">
        <f t="shared" ref="E205:E234" si="51">"00"</f>
        <v>00</v>
      </c>
      <c r="F205" t="str">
        <f>"750"</f>
        <v>750</v>
      </c>
      <c r="G205">
        <v>5</v>
      </c>
      <c r="H205" t="str">
        <f>"99"</f>
        <v>99</v>
      </c>
      <c r="I205" t="str">
        <f t="shared" si="48"/>
        <v>0</v>
      </c>
      <c r="J205" t="str">
        <f>"00"</f>
        <v>00</v>
      </c>
      <c r="K205">
        <v>20150601</v>
      </c>
      <c r="L205" t="str">
        <f>"002692"</f>
        <v>002692</v>
      </c>
      <c r="M205" t="str">
        <f>"00673"</f>
        <v>00673</v>
      </c>
      <c r="N205" t="s">
        <v>159</v>
      </c>
      <c r="O205">
        <v>13</v>
      </c>
      <c r="Q205" t="s">
        <v>33</v>
      </c>
      <c r="R205" t="s">
        <v>34</v>
      </c>
      <c r="S205" t="s">
        <v>35</v>
      </c>
      <c r="T205" t="s">
        <v>35</v>
      </c>
      <c r="U205" t="s">
        <v>34</v>
      </c>
      <c r="V205" t="str">
        <f>""</f>
        <v/>
      </c>
      <c r="W205">
        <v>20150706</v>
      </c>
      <c r="X205" t="s">
        <v>168</v>
      </c>
      <c r="Y205" t="s">
        <v>171</v>
      </c>
      <c r="Z205" t="s">
        <v>171</v>
      </c>
      <c r="AA205">
        <v>0</v>
      </c>
      <c r="AB205" t="s">
        <v>142</v>
      </c>
      <c r="AC205" t="s">
        <v>170</v>
      </c>
      <c r="AD205" t="s">
        <v>144</v>
      </c>
      <c r="AE205" t="str">
        <f t="shared" si="50"/>
        <v>06</v>
      </c>
      <c r="AF205" t="s">
        <v>40</v>
      </c>
    </row>
    <row r="206" spans="1:32" x14ac:dyDescent="0.25">
      <c r="A206">
        <v>5</v>
      </c>
      <c r="B206">
        <v>429</v>
      </c>
      <c r="C206" t="str">
        <f>"71"</f>
        <v>71</v>
      </c>
      <c r="D206">
        <v>6521</v>
      </c>
      <c r="E206" t="str">
        <f t="shared" si="51"/>
        <v>00</v>
      </c>
      <c r="F206" t="str">
        <f>"999"</f>
        <v>999</v>
      </c>
      <c r="G206">
        <v>5</v>
      </c>
      <c r="H206" t="str">
        <f>"99"</f>
        <v>99</v>
      </c>
      <c r="I206" t="str">
        <f t="shared" si="48"/>
        <v>0</v>
      </c>
      <c r="J206" t="str">
        <f>"03"</f>
        <v>03</v>
      </c>
      <c r="K206">
        <v>20150601</v>
      </c>
      <c r="L206" t="str">
        <f>"002692"</f>
        <v>002692</v>
      </c>
      <c r="M206" t="str">
        <f>"00673"</f>
        <v>00673</v>
      </c>
      <c r="N206" t="s">
        <v>159</v>
      </c>
      <c r="O206" s="1">
        <v>9916.67</v>
      </c>
      <c r="Q206" t="s">
        <v>33</v>
      </c>
      <c r="R206" t="s">
        <v>34</v>
      </c>
      <c r="S206" t="s">
        <v>35</v>
      </c>
      <c r="T206" t="s">
        <v>35</v>
      </c>
      <c r="U206" t="s">
        <v>34</v>
      </c>
      <c r="V206" t="str">
        <f>""</f>
        <v/>
      </c>
      <c r="W206">
        <v>20150706</v>
      </c>
      <c r="X206" t="s">
        <v>160</v>
      </c>
      <c r="Y206" t="s">
        <v>161</v>
      </c>
      <c r="Z206" t="s">
        <v>161</v>
      </c>
      <c r="AA206">
        <v>0</v>
      </c>
      <c r="AB206" t="s">
        <v>152</v>
      </c>
      <c r="AC206" t="s">
        <v>143</v>
      </c>
      <c r="AD206" t="s">
        <v>144</v>
      </c>
      <c r="AE206" t="str">
        <f t="shared" si="50"/>
        <v>06</v>
      </c>
      <c r="AF206" t="s">
        <v>40</v>
      </c>
    </row>
    <row r="207" spans="1:32" x14ac:dyDescent="0.25">
      <c r="A207">
        <v>5</v>
      </c>
      <c r="B207">
        <v>429</v>
      </c>
      <c r="C207" t="str">
        <f>"71"</f>
        <v>71</v>
      </c>
      <c r="D207">
        <v>6521</v>
      </c>
      <c r="E207" t="str">
        <f t="shared" si="51"/>
        <v>00</v>
      </c>
      <c r="F207" t="str">
        <f>"999"</f>
        <v>999</v>
      </c>
      <c r="G207">
        <v>5</v>
      </c>
      <c r="H207" t="str">
        <f>"99"</f>
        <v>99</v>
      </c>
      <c r="I207" t="str">
        <f t="shared" si="48"/>
        <v>0</v>
      </c>
      <c r="J207" t="str">
        <f>"04"</f>
        <v>04</v>
      </c>
      <c r="K207">
        <v>20150601</v>
      </c>
      <c r="L207" t="str">
        <f>"002692"</f>
        <v>002692</v>
      </c>
      <c r="M207" t="str">
        <f>"00673"</f>
        <v>00673</v>
      </c>
      <c r="N207" t="s">
        <v>159</v>
      </c>
      <c r="O207" s="1">
        <v>6485.64</v>
      </c>
      <c r="Q207" t="s">
        <v>33</v>
      </c>
      <c r="R207" t="s">
        <v>34</v>
      </c>
      <c r="S207" t="s">
        <v>35</v>
      </c>
      <c r="T207" t="s">
        <v>35</v>
      </c>
      <c r="U207" t="s">
        <v>34</v>
      </c>
      <c r="V207" t="str">
        <f>""</f>
        <v/>
      </c>
      <c r="W207">
        <v>20150706</v>
      </c>
      <c r="X207" t="s">
        <v>162</v>
      </c>
      <c r="Y207" t="s">
        <v>163</v>
      </c>
      <c r="Z207" t="s">
        <v>163</v>
      </c>
      <c r="AA207">
        <v>0</v>
      </c>
      <c r="AB207" t="s">
        <v>152</v>
      </c>
      <c r="AC207" t="s">
        <v>143</v>
      </c>
      <c r="AD207" t="s">
        <v>144</v>
      </c>
      <c r="AE207" t="str">
        <f t="shared" si="50"/>
        <v>06</v>
      </c>
      <c r="AF207" t="s">
        <v>40</v>
      </c>
    </row>
    <row r="208" spans="1:32" x14ac:dyDescent="0.25">
      <c r="A208">
        <v>5</v>
      </c>
      <c r="B208">
        <v>420</v>
      </c>
      <c r="C208" t="str">
        <f>"11"</f>
        <v>11</v>
      </c>
      <c r="D208">
        <v>6219</v>
      </c>
      <c r="E208" t="str">
        <f t="shared" si="51"/>
        <v>00</v>
      </c>
      <c r="F208" t="str">
        <f>"101"</f>
        <v>101</v>
      </c>
      <c r="G208">
        <v>5</v>
      </c>
      <c r="H208" t="str">
        <f>"11"</f>
        <v>11</v>
      </c>
      <c r="I208" t="str">
        <f t="shared" si="48"/>
        <v>0</v>
      </c>
      <c r="J208" t="str">
        <f>"00"</f>
        <v>00</v>
      </c>
      <c r="K208">
        <v>20150604</v>
      </c>
      <c r="L208" t="str">
        <f>"002693"</f>
        <v>002693</v>
      </c>
      <c r="M208" t="str">
        <f>"00686"</f>
        <v>00686</v>
      </c>
      <c r="N208" t="s">
        <v>146</v>
      </c>
      <c r="O208">
        <v>396.5</v>
      </c>
      <c r="Q208" t="s">
        <v>33</v>
      </c>
      <c r="R208" t="s">
        <v>34</v>
      </c>
      <c r="S208" t="s">
        <v>35</v>
      </c>
      <c r="T208" t="s">
        <v>35</v>
      </c>
      <c r="U208" t="s">
        <v>34</v>
      </c>
      <c r="V208" t="str">
        <f>""</f>
        <v/>
      </c>
      <c r="W208">
        <v>20150706</v>
      </c>
      <c r="X208" t="s">
        <v>147</v>
      </c>
      <c r="Y208" t="s">
        <v>148</v>
      </c>
      <c r="Z208" t="s">
        <v>148</v>
      </c>
      <c r="AA208">
        <v>0</v>
      </c>
      <c r="AB208" t="s">
        <v>142</v>
      </c>
      <c r="AC208" t="s">
        <v>41</v>
      </c>
      <c r="AD208" t="s">
        <v>144</v>
      </c>
      <c r="AE208" t="str">
        <f t="shared" si="50"/>
        <v>06</v>
      </c>
      <c r="AF208" t="s">
        <v>40</v>
      </c>
    </row>
    <row r="209" spans="1:32" x14ac:dyDescent="0.25">
      <c r="A209">
        <v>5</v>
      </c>
      <c r="B209">
        <v>420</v>
      </c>
      <c r="C209" t="str">
        <f>"34"</f>
        <v>34</v>
      </c>
      <c r="D209">
        <v>6219</v>
      </c>
      <c r="E209" t="str">
        <f t="shared" si="51"/>
        <v>00</v>
      </c>
      <c r="F209" t="str">
        <f>"999"</f>
        <v>999</v>
      </c>
      <c r="G209">
        <v>5</v>
      </c>
      <c r="H209" t="str">
        <f>"99"</f>
        <v>99</v>
      </c>
      <c r="I209" t="str">
        <f t="shared" si="48"/>
        <v>0</v>
      </c>
      <c r="J209" t="str">
        <f>"00"</f>
        <v>00</v>
      </c>
      <c r="K209">
        <v>20150625</v>
      </c>
      <c r="L209" t="str">
        <f>"002694"</f>
        <v>002694</v>
      </c>
      <c r="M209" t="str">
        <f>"00516"</f>
        <v>00516</v>
      </c>
      <c r="N209" t="s">
        <v>139</v>
      </c>
      <c r="O209" s="1">
        <v>1643</v>
      </c>
      <c r="Q209" t="s">
        <v>33</v>
      </c>
      <c r="R209" t="s">
        <v>34</v>
      </c>
      <c r="S209" t="s">
        <v>35</v>
      </c>
      <c r="T209" t="s">
        <v>35</v>
      </c>
      <c r="U209" t="s">
        <v>34</v>
      </c>
      <c r="V209" t="str">
        <f>""</f>
        <v/>
      </c>
      <c r="W209">
        <v>20150706</v>
      </c>
      <c r="X209" t="s">
        <v>140</v>
      </c>
      <c r="Y209" t="s">
        <v>179</v>
      </c>
      <c r="Z209" t="s">
        <v>179</v>
      </c>
      <c r="AA209">
        <v>0</v>
      </c>
      <c r="AB209" t="s">
        <v>142</v>
      </c>
      <c r="AC209" t="s">
        <v>143</v>
      </c>
      <c r="AD209" t="s">
        <v>144</v>
      </c>
      <c r="AE209" t="str">
        <f t="shared" si="50"/>
        <v>06</v>
      </c>
      <c r="AF209" t="s">
        <v>40</v>
      </c>
    </row>
    <row r="210" spans="1:32" x14ac:dyDescent="0.25">
      <c r="A210">
        <v>5</v>
      </c>
      <c r="B210">
        <v>420</v>
      </c>
      <c r="C210" t="str">
        <f>"41"</f>
        <v>41</v>
      </c>
      <c r="D210">
        <v>6499</v>
      </c>
      <c r="E210" t="str">
        <f t="shared" si="51"/>
        <v>00</v>
      </c>
      <c r="F210" t="str">
        <f>"750"</f>
        <v>750</v>
      </c>
      <c r="G210">
        <v>5</v>
      </c>
      <c r="H210" t="str">
        <f>"99"</f>
        <v>99</v>
      </c>
      <c r="I210" t="str">
        <f t="shared" si="48"/>
        <v>0</v>
      </c>
      <c r="J210" t="str">
        <f>"00"</f>
        <v>00</v>
      </c>
      <c r="K210">
        <v>20150701</v>
      </c>
      <c r="L210" t="str">
        <f>"002695"</f>
        <v>002695</v>
      </c>
      <c r="M210" t="str">
        <f>"00673"</f>
        <v>00673</v>
      </c>
      <c r="N210" t="s">
        <v>159</v>
      </c>
      <c r="O210">
        <v>13</v>
      </c>
      <c r="Q210" t="s">
        <v>33</v>
      </c>
      <c r="R210" t="s">
        <v>34</v>
      </c>
      <c r="S210" t="s">
        <v>35</v>
      </c>
      <c r="T210" t="s">
        <v>35</v>
      </c>
      <c r="U210" t="s">
        <v>34</v>
      </c>
      <c r="V210" t="str">
        <f>""</f>
        <v/>
      </c>
      <c r="W210">
        <v>20150714</v>
      </c>
      <c r="X210" t="s">
        <v>168</v>
      </c>
      <c r="Y210" t="s">
        <v>171</v>
      </c>
      <c r="Z210" t="s">
        <v>171</v>
      </c>
      <c r="AA210">
        <v>0</v>
      </c>
      <c r="AB210" t="s">
        <v>142</v>
      </c>
      <c r="AC210" t="s">
        <v>170</v>
      </c>
      <c r="AD210" t="s">
        <v>144</v>
      </c>
      <c r="AE210" t="str">
        <f t="shared" ref="AE210:AE233" si="52">"07"</f>
        <v>07</v>
      </c>
      <c r="AF210" t="s">
        <v>40</v>
      </c>
    </row>
    <row r="211" spans="1:32" x14ac:dyDescent="0.25">
      <c r="A211">
        <v>5</v>
      </c>
      <c r="B211">
        <v>429</v>
      </c>
      <c r="C211" t="str">
        <f t="shared" ref="C211:C216" si="53">"71"</f>
        <v>71</v>
      </c>
      <c r="D211">
        <v>6521</v>
      </c>
      <c r="E211" t="str">
        <f t="shared" si="51"/>
        <v>00</v>
      </c>
      <c r="F211" t="str">
        <f t="shared" ref="F211:F219" si="54">"999"</f>
        <v>999</v>
      </c>
      <c r="G211">
        <v>5</v>
      </c>
      <c r="H211" t="str">
        <f>"99"</f>
        <v>99</v>
      </c>
      <c r="I211" t="str">
        <f t="shared" si="48"/>
        <v>0</v>
      </c>
      <c r="J211" t="str">
        <f>"03"</f>
        <v>03</v>
      </c>
      <c r="K211">
        <v>20150701</v>
      </c>
      <c r="L211" t="str">
        <f>"002695"</f>
        <v>002695</v>
      </c>
      <c r="M211" t="str">
        <f>"00673"</f>
        <v>00673</v>
      </c>
      <c r="N211" t="s">
        <v>159</v>
      </c>
      <c r="O211" s="1">
        <v>6485.64</v>
      </c>
      <c r="Q211" t="s">
        <v>33</v>
      </c>
      <c r="R211" t="s">
        <v>34</v>
      </c>
      <c r="S211" t="s">
        <v>35</v>
      </c>
      <c r="T211" t="s">
        <v>35</v>
      </c>
      <c r="U211" t="s">
        <v>34</v>
      </c>
      <c r="V211" t="str">
        <f>""</f>
        <v/>
      </c>
      <c r="W211">
        <v>20150714</v>
      </c>
      <c r="X211" t="s">
        <v>160</v>
      </c>
      <c r="Y211" t="s">
        <v>161</v>
      </c>
      <c r="Z211" t="s">
        <v>161</v>
      </c>
      <c r="AA211">
        <v>0</v>
      </c>
      <c r="AB211" t="s">
        <v>152</v>
      </c>
      <c r="AC211" t="s">
        <v>143</v>
      </c>
      <c r="AD211" t="s">
        <v>144</v>
      </c>
      <c r="AE211" t="str">
        <f t="shared" si="52"/>
        <v>07</v>
      </c>
      <c r="AF211" t="s">
        <v>40</v>
      </c>
    </row>
    <row r="212" spans="1:32" x14ac:dyDescent="0.25">
      <c r="A212">
        <v>5</v>
      </c>
      <c r="B212">
        <v>429</v>
      </c>
      <c r="C212" t="str">
        <f t="shared" si="53"/>
        <v>71</v>
      </c>
      <c r="D212">
        <v>6521</v>
      </c>
      <c r="E212" t="str">
        <f t="shared" si="51"/>
        <v>00</v>
      </c>
      <c r="F212" t="str">
        <f t="shared" si="54"/>
        <v>999</v>
      </c>
      <c r="G212">
        <v>5</v>
      </c>
      <c r="H212" t="str">
        <f>"99"</f>
        <v>99</v>
      </c>
      <c r="I212" t="str">
        <f t="shared" si="48"/>
        <v>0</v>
      </c>
      <c r="J212" t="str">
        <f>"04"</f>
        <v>04</v>
      </c>
      <c r="K212">
        <v>20150701</v>
      </c>
      <c r="L212" t="str">
        <f>"002695"</f>
        <v>002695</v>
      </c>
      <c r="M212" t="str">
        <f>"00673"</f>
        <v>00673</v>
      </c>
      <c r="N212" t="s">
        <v>159</v>
      </c>
      <c r="O212" s="1">
        <v>9916.67</v>
      </c>
      <c r="Q212" t="s">
        <v>33</v>
      </c>
      <c r="R212" t="s">
        <v>34</v>
      </c>
      <c r="S212" t="s">
        <v>35</v>
      </c>
      <c r="T212" t="s">
        <v>35</v>
      </c>
      <c r="U212" t="s">
        <v>34</v>
      </c>
      <c r="V212" t="str">
        <f>""</f>
        <v/>
      </c>
      <c r="W212">
        <v>20150714</v>
      </c>
      <c r="X212" t="s">
        <v>162</v>
      </c>
      <c r="Y212" t="s">
        <v>163</v>
      </c>
      <c r="Z212" t="s">
        <v>163</v>
      </c>
      <c r="AA212">
        <v>0</v>
      </c>
      <c r="AB212" t="s">
        <v>152</v>
      </c>
      <c r="AC212" t="s">
        <v>143</v>
      </c>
      <c r="AD212" t="s">
        <v>144</v>
      </c>
      <c r="AE212" t="str">
        <f t="shared" si="52"/>
        <v>07</v>
      </c>
      <c r="AF212" t="s">
        <v>40</v>
      </c>
    </row>
    <row r="213" spans="1:32" x14ac:dyDescent="0.25">
      <c r="A213">
        <v>5</v>
      </c>
      <c r="B213">
        <v>429</v>
      </c>
      <c r="C213" t="str">
        <f t="shared" si="53"/>
        <v>71</v>
      </c>
      <c r="D213">
        <v>6521</v>
      </c>
      <c r="E213" t="str">
        <f t="shared" si="51"/>
        <v>00</v>
      </c>
      <c r="F213" t="str">
        <f t="shared" si="54"/>
        <v>999</v>
      </c>
      <c r="G213">
        <v>5</v>
      </c>
      <c r="H213" t="str">
        <f>"98"</f>
        <v>98</v>
      </c>
      <c r="I213" t="str">
        <f t="shared" si="48"/>
        <v>0</v>
      </c>
      <c r="J213" t="str">
        <f>"00"</f>
        <v>00</v>
      </c>
      <c r="K213">
        <v>20150701</v>
      </c>
      <c r="L213" t="str">
        <f>"002696"</f>
        <v>002696</v>
      </c>
      <c r="M213" t="str">
        <f>"00049"</f>
        <v>00049</v>
      </c>
      <c r="N213" t="s">
        <v>201</v>
      </c>
      <c r="O213" s="1">
        <v>12784.83</v>
      </c>
      <c r="Q213" t="s">
        <v>33</v>
      </c>
      <c r="R213" t="s">
        <v>34</v>
      </c>
      <c r="S213" t="s">
        <v>35</v>
      </c>
      <c r="T213" t="s">
        <v>35</v>
      </c>
      <c r="U213" t="s">
        <v>34</v>
      </c>
      <c r="V213" t="str">
        <f>""</f>
        <v/>
      </c>
      <c r="W213">
        <v>20150714</v>
      </c>
      <c r="X213" t="s">
        <v>150</v>
      </c>
      <c r="Y213" t="s">
        <v>151</v>
      </c>
      <c r="Z213" t="s">
        <v>151</v>
      </c>
      <c r="AA213">
        <v>0</v>
      </c>
      <c r="AB213" t="s">
        <v>152</v>
      </c>
      <c r="AC213" t="s">
        <v>143</v>
      </c>
      <c r="AD213" t="s">
        <v>144</v>
      </c>
      <c r="AE213" t="str">
        <f t="shared" si="52"/>
        <v>07</v>
      </c>
      <c r="AF213" t="s">
        <v>40</v>
      </c>
    </row>
    <row r="214" spans="1:32" x14ac:dyDescent="0.25">
      <c r="A214">
        <v>5</v>
      </c>
      <c r="B214">
        <v>429</v>
      </c>
      <c r="C214" t="str">
        <f t="shared" si="53"/>
        <v>71</v>
      </c>
      <c r="D214">
        <v>6521</v>
      </c>
      <c r="E214" t="str">
        <f t="shared" si="51"/>
        <v>00</v>
      </c>
      <c r="F214" t="str">
        <f t="shared" si="54"/>
        <v>999</v>
      </c>
      <c r="G214">
        <v>5</v>
      </c>
      <c r="H214" t="str">
        <f>"98"</f>
        <v>98</v>
      </c>
      <c r="I214" t="str">
        <f t="shared" si="48"/>
        <v>0</v>
      </c>
      <c r="J214" t="str">
        <f>"01"</f>
        <v>01</v>
      </c>
      <c r="K214">
        <v>20150701</v>
      </c>
      <c r="L214" t="str">
        <f>"002696"</f>
        <v>002696</v>
      </c>
      <c r="M214" t="str">
        <f>"00049"</f>
        <v>00049</v>
      </c>
      <c r="N214" t="s">
        <v>201</v>
      </c>
      <c r="O214" s="1">
        <v>3962.57</v>
      </c>
      <c r="Q214" t="s">
        <v>33</v>
      </c>
      <c r="R214" t="s">
        <v>34</v>
      </c>
      <c r="S214" t="s">
        <v>35</v>
      </c>
      <c r="T214" t="s">
        <v>35</v>
      </c>
      <c r="U214" t="s">
        <v>34</v>
      </c>
      <c r="V214" t="str">
        <f>""</f>
        <v/>
      </c>
      <c r="W214">
        <v>20150714</v>
      </c>
      <c r="X214" t="s">
        <v>153</v>
      </c>
      <c r="Y214" t="s">
        <v>154</v>
      </c>
      <c r="Z214" t="s">
        <v>154</v>
      </c>
      <c r="AA214">
        <v>0</v>
      </c>
      <c r="AB214" t="s">
        <v>152</v>
      </c>
      <c r="AC214" t="s">
        <v>143</v>
      </c>
      <c r="AD214" t="s">
        <v>144</v>
      </c>
      <c r="AE214" t="str">
        <f t="shared" si="52"/>
        <v>07</v>
      </c>
      <c r="AF214" t="s">
        <v>40</v>
      </c>
    </row>
    <row r="215" spans="1:32" x14ac:dyDescent="0.25">
      <c r="A215">
        <v>5</v>
      </c>
      <c r="B215">
        <v>429</v>
      </c>
      <c r="C215" t="str">
        <f t="shared" si="53"/>
        <v>71</v>
      </c>
      <c r="D215">
        <v>6521</v>
      </c>
      <c r="E215" t="str">
        <f t="shared" si="51"/>
        <v>00</v>
      </c>
      <c r="F215" t="str">
        <f t="shared" si="54"/>
        <v>999</v>
      </c>
      <c r="G215">
        <v>5</v>
      </c>
      <c r="H215" t="str">
        <f>"99"</f>
        <v>99</v>
      </c>
      <c r="I215" t="str">
        <f t="shared" si="48"/>
        <v>0</v>
      </c>
      <c r="J215" t="str">
        <f>"00"</f>
        <v>00</v>
      </c>
      <c r="K215">
        <v>20150701</v>
      </c>
      <c r="L215" t="str">
        <f>"002696"</f>
        <v>002696</v>
      </c>
      <c r="M215" t="str">
        <f>"00049"</f>
        <v>00049</v>
      </c>
      <c r="N215" t="s">
        <v>201</v>
      </c>
      <c r="O215">
        <v>265.8</v>
      </c>
      <c r="Q215" t="s">
        <v>33</v>
      </c>
      <c r="R215" t="s">
        <v>34</v>
      </c>
      <c r="S215" t="s">
        <v>35</v>
      </c>
      <c r="T215" t="s">
        <v>35</v>
      </c>
      <c r="U215" t="s">
        <v>34</v>
      </c>
      <c r="V215" t="str">
        <f>""</f>
        <v/>
      </c>
      <c r="W215">
        <v>20150714</v>
      </c>
      <c r="X215" t="s">
        <v>155</v>
      </c>
      <c r="Y215" t="s">
        <v>156</v>
      </c>
      <c r="Z215" t="s">
        <v>156</v>
      </c>
      <c r="AA215">
        <v>0</v>
      </c>
      <c r="AB215" t="s">
        <v>152</v>
      </c>
      <c r="AC215" t="s">
        <v>143</v>
      </c>
      <c r="AD215" t="s">
        <v>144</v>
      </c>
      <c r="AE215" t="str">
        <f t="shared" si="52"/>
        <v>07</v>
      </c>
      <c r="AF215" t="s">
        <v>40</v>
      </c>
    </row>
    <row r="216" spans="1:32" x14ac:dyDescent="0.25">
      <c r="A216">
        <v>5</v>
      </c>
      <c r="B216">
        <v>429</v>
      </c>
      <c r="C216" t="str">
        <f t="shared" si="53"/>
        <v>71</v>
      </c>
      <c r="D216">
        <v>6521</v>
      </c>
      <c r="E216" t="str">
        <f t="shared" si="51"/>
        <v>00</v>
      </c>
      <c r="F216" t="str">
        <f t="shared" si="54"/>
        <v>999</v>
      </c>
      <c r="G216">
        <v>5</v>
      </c>
      <c r="H216" t="str">
        <f>"99"</f>
        <v>99</v>
      </c>
      <c r="I216" t="str">
        <f t="shared" si="48"/>
        <v>0</v>
      </c>
      <c r="J216" t="str">
        <f>"02"</f>
        <v>02</v>
      </c>
      <c r="K216">
        <v>20150701</v>
      </c>
      <c r="L216" t="str">
        <f>"002696"</f>
        <v>002696</v>
      </c>
      <c r="M216" t="str">
        <f>"00049"</f>
        <v>00049</v>
      </c>
      <c r="N216" t="s">
        <v>201</v>
      </c>
      <c r="O216" s="1">
        <v>1774.9</v>
      </c>
      <c r="Q216" t="s">
        <v>33</v>
      </c>
      <c r="R216" t="s">
        <v>34</v>
      </c>
      <c r="S216" t="s">
        <v>35</v>
      </c>
      <c r="T216" t="s">
        <v>35</v>
      </c>
      <c r="U216" t="s">
        <v>34</v>
      </c>
      <c r="V216" t="str">
        <f>""</f>
        <v/>
      </c>
      <c r="W216">
        <v>20150714</v>
      </c>
      <c r="X216" t="s">
        <v>157</v>
      </c>
      <c r="Y216" t="s">
        <v>158</v>
      </c>
      <c r="Z216" t="s">
        <v>158</v>
      </c>
      <c r="AA216">
        <v>0</v>
      </c>
      <c r="AB216" t="s">
        <v>152</v>
      </c>
      <c r="AC216" t="s">
        <v>143</v>
      </c>
      <c r="AD216" t="s">
        <v>144</v>
      </c>
      <c r="AE216" t="str">
        <f t="shared" si="52"/>
        <v>07</v>
      </c>
      <c r="AF216" t="s">
        <v>40</v>
      </c>
    </row>
    <row r="217" spans="1:32" x14ac:dyDescent="0.25">
      <c r="A217">
        <v>5</v>
      </c>
      <c r="B217">
        <v>420</v>
      </c>
      <c r="C217" t="str">
        <f>"51"</f>
        <v>51</v>
      </c>
      <c r="D217">
        <v>6299</v>
      </c>
      <c r="E217" t="str">
        <f t="shared" si="51"/>
        <v>00</v>
      </c>
      <c r="F217" t="str">
        <f t="shared" si="54"/>
        <v>999</v>
      </c>
      <c r="G217">
        <v>5</v>
      </c>
      <c r="H217" t="str">
        <f>"99"</f>
        <v>99</v>
      </c>
      <c r="I217" t="str">
        <f t="shared" si="48"/>
        <v>0</v>
      </c>
      <c r="J217" t="str">
        <f t="shared" ref="J217:J280" si="55">"00"</f>
        <v>00</v>
      </c>
      <c r="K217">
        <v>20150702</v>
      </c>
      <c r="L217" t="str">
        <f>"002697"</f>
        <v>002697</v>
      </c>
      <c r="M217" t="str">
        <f>"00521"</f>
        <v>00521</v>
      </c>
      <c r="N217" t="s">
        <v>202</v>
      </c>
      <c r="O217">
        <v>570</v>
      </c>
      <c r="Q217" t="s">
        <v>33</v>
      </c>
      <c r="R217" t="s">
        <v>34</v>
      </c>
      <c r="S217" t="s">
        <v>35</v>
      </c>
      <c r="T217" t="s">
        <v>35</v>
      </c>
      <c r="U217" t="s">
        <v>34</v>
      </c>
      <c r="V217" t="str">
        <f>""</f>
        <v/>
      </c>
      <c r="W217">
        <v>20150714</v>
      </c>
      <c r="X217" t="s">
        <v>203</v>
      </c>
      <c r="Y217" t="s">
        <v>204</v>
      </c>
      <c r="Z217" t="s">
        <v>204</v>
      </c>
      <c r="AA217">
        <v>0</v>
      </c>
      <c r="AB217" t="s">
        <v>142</v>
      </c>
      <c r="AC217" t="s">
        <v>143</v>
      </c>
      <c r="AD217" t="s">
        <v>144</v>
      </c>
      <c r="AE217" t="str">
        <f t="shared" si="52"/>
        <v>07</v>
      </c>
      <c r="AF217" t="s">
        <v>40</v>
      </c>
    </row>
    <row r="218" spans="1:32" x14ac:dyDescent="0.25">
      <c r="A218">
        <v>5</v>
      </c>
      <c r="B218">
        <v>420</v>
      </c>
      <c r="C218" t="str">
        <f>"51"</f>
        <v>51</v>
      </c>
      <c r="D218">
        <v>6299</v>
      </c>
      <c r="E218" t="str">
        <f t="shared" si="51"/>
        <v>00</v>
      </c>
      <c r="F218" t="str">
        <f t="shared" si="54"/>
        <v>999</v>
      </c>
      <c r="G218">
        <v>5</v>
      </c>
      <c r="H218" t="str">
        <f>"99"</f>
        <v>99</v>
      </c>
      <c r="I218" t="str">
        <f t="shared" si="48"/>
        <v>0</v>
      </c>
      <c r="J218" t="str">
        <f t="shared" si="55"/>
        <v>00</v>
      </c>
      <c r="K218">
        <v>20150702</v>
      </c>
      <c r="L218" t="str">
        <f>"002698"</f>
        <v>002698</v>
      </c>
      <c r="M218" t="str">
        <f>"00303"</f>
        <v>00303</v>
      </c>
      <c r="N218" t="s">
        <v>205</v>
      </c>
      <c r="O218" s="1">
        <v>2736</v>
      </c>
      <c r="Q218" t="s">
        <v>33</v>
      </c>
      <c r="R218" t="s">
        <v>34</v>
      </c>
      <c r="S218" t="s">
        <v>35</v>
      </c>
      <c r="T218" t="s">
        <v>35</v>
      </c>
      <c r="U218" t="s">
        <v>34</v>
      </c>
      <c r="V218" t="str">
        <f>""</f>
        <v/>
      </c>
      <c r="W218">
        <v>20150714</v>
      </c>
      <c r="X218" t="s">
        <v>203</v>
      </c>
      <c r="Y218" t="s">
        <v>204</v>
      </c>
      <c r="Z218" t="s">
        <v>204</v>
      </c>
      <c r="AA218">
        <v>0</v>
      </c>
      <c r="AB218" t="s">
        <v>142</v>
      </c>
      <c r="AC218" t="s">
        <v>143</v>
      </c>
      <c r="AD218" t="s">
        <v>144</v>
      </c>
      <c r="AE218" t="str">
        <f t="shared" si="52"/>
        <v>07</v>
      </c>
      <c r="AF218" t="s">
        <v>40</v>
      </c>
    </row>
    <row r="219" spans="1:32" x14ac:dyDescent="0.25">
      <c r="A219">
        <v>5</v>
      </c>
      <c r="B219">
        <v>420</v>
      </c>
      <c r="C219" t="str">
        <f>"51"</f>
        <v>51</v>
      </c>
      <c r="D219">
        <v>6299</v>
      </c>
      <c r="E219" t="str">
        <f t="shared" si="51"/>
        <v>00</v>
      </c>
      <c r="F219" t="str">
        <f t="shared" si="54"/>
        <v>999</v>
      </c>
      <c r="G219">
        <v>5</v>
      </c>
      <c r="H219" t="str">
        <f>"99"</f>
        <v>99</v>
      </c>
      <c r="I219" t="str">
        <f t="shared" si="48"/>
        <v>0</v>
      </c>
      <c r="J219" t="str">
        <f t="shared" si="55"/>
        <v>00</v>
      </c>
      <c r="K219">
        <v>20150702</v>
      </c>
      <c r="L219" t="str">
        <f>"002699"</f>
        <v>002699</v>
      </c>
      <c r="M219" t="str">
        <f>"00878"</f>
        <v>00878</v>
      </c>
      <c r="N219" t="s">
        <v>206</v>
      </c>
      <c r="O219">
        <v>180</v>
      </c>
      <c r="Q219" t="s">
        <v>33</v>
      </c>
      <c r="R219" t="s">
        <v>34</v>
      </c>
      <c r="S219" t="s">
        <v>35</v>
      </c>
      <c r="T219" t="s">
        <v>35</v>
      </c>
      <c r="U219" t="s">
        <v>34</v>
      </c>
      <c r="V219" t="str">
        <f>""</f>
        <v/>
      </c>
      <c r="W219">
        <v>20150714</v>
      </c>
      <c r="X219" t="s">
        <v>203</v>
      </c>
      <c r="Y219" t="s">
        <v>204</v>
      </c>
      <c r="Z219" t="s">
        <v>204</v>
      </c>
      <c r="AA219">
        <v>0</v>
      </c>
      <c r="AB219" t="s">
        <v>142</v>
      </c>
      <c r="AC219" t="s">
        <v>143</v>
      </c>
      <c r="AD219" t="s">
        <v>144</v>
      </c>
      <c r="AE219" t="str">
        <f t="shared" si="52"/>
        <v>07</v>
      </c>
      <c r="AF219" t="s">
        <v>40</v>
      </c>
    </row>
    <row r="220" spans="1:32" x14ac:dyDescent="0.25">
      <c r="A220">
        <v>5</v>
      </c>
      <c r="B220">
        <v>420</v>
      </c>
      <c r="C220" t="str">
        <f>"11"</f>
        <v>11</v>
      </c>
      <c r="D220">
        <v>6219</v>
      </c>
      <c r="E220" t="str">
        <f t="shared" si="51"/>
        <v>00</v>
      </c>
      <c r="F220" t="str">
        <f>"101"</f>
        <v>101</v>
      </c>
      <c r="G220">
        <v>5</v>
      </c>
      <c r="H220" t="str">
        <f>"11"</f>
        <v>11</v>
      </c>
      <c r="I220" t="str">
        <f t="shared" si="48"/>
        <v>0</v>
      </c>
      <c r="J220" t="str">
        <f t="shared" si="55"/>
        <v>00</v>
      </c>
      <c r="K220">
        <v>20150709</v>
      </c>
      <c r="L220" t="str">
        <f>"002700"</f>
        <v>002700</v>
      </c>
      <c r="M220" t="str">
        <f>"00686"</f>
        <v>00686</v>
      </c>
      <c r="N220" t="s">
        <v>146</v>
      </c>
      <c r="O220" s="1">
        <v>1202.4100000000001</v>
      </c>
      <c r="Q220" t="s">
        <v>33</v>
      </c>
      <c r="R220" t="s">
        <v>34</v>
      </c>
      <c r="S220" t="s">
        <v>35</v>
      </c>
      <c r="T220" t="s">
        <v>35</v>
      </c>
      <c r="U220" t="s">
        <v>34</v>
      </c>
      <c r="V220" t="str">
        <f>""</f>
        <v/>
      </c>
      <c r="W220">
        <v>20150714</v>
      </c>
      <c r="X220" t="s">
        <v>147</v>
      </c>
      <c r="Y220" t="s">
        <v>148</v>
      </c>
      <c r="Z220" t="s">
        <v>148</v>
      </c>
      <c r="AA220">
        <v>0</v>
      </c>
      <c r="AB220" t="s">
        <v>142</v>
      </c>
      <c r="AC220" t="s">
        <v>41</v>
      </c>
      <c r="AD220" t="s">
        <v>144</v>
      </c>
      <c r="AE220" t="str">
        <f t="shared" si="52"/>
        <v>07</v>
      </c>
      <c r="AF220" t="s">
        <v>40</v>
      </c>
    </row>
    <row r="221" spans="1:32" x14ac:dyDescent="0.25">
      <c r="A221">
        <v>5</v>
      </c>
      <c r="B221">
        <v>420</v>
      </c>
      <c r="C221" t="str">
        <f>"51"</f>
        <v>51</v>
      </c>
      <c r="D221">
        <v>6299</v>
      </c>
      <c r="E221" t="str">
        <f t="shared" si="51"/>
        <v>00</v>
      </c>
      <c r="F221" t="str">
        <f>"999"</f>
        <v>999</v>
      </c>
      <c r="G221">
        <v>5</v>
      </c>
      <c r="H221" t="str">
        <f>"99"</f>
        <v>99</v>
      </c>
      <c r="I221" t="str">
        <f t="shared" si="48"/>
        <v>0</v>
      </c>
      <c r="J221" t="str">
        <f t="shared" si="55"/>
        <v>00</v>
      </c>
      <c r="K221">
        <v>20150709</v>
      </c>
      <c r="L221" t="str">
        <f>"002701"</f>
        <v>002701</v>
      </c>
      <c r="M221" t="str">
        <f>"00521"</f>
        <v>00521</v>
      </c>
      <c r="N221" t="s">
        <v>202</v>
      </c>
      <c r="O221">
        <v>475</v>
      </c>
      <c r="Q221" t="s">
        <v>33</v>
      </c>
      <c r="R221" t="s">
        <v>34</v>
      </c>
      <c r="S221" t="s">
        <v>35</v>
      </c>
      <c r="T221" t="s">
        <v>35</v>
      </c>
      <c r="U221" t="s">
        <v>34</v>
      </c>
      <c r="V221" t="str">
        <f>""</f>
        <v/>
      </c>
      <c r="W221">
        <v>20150714</v>
      </c>
      <c r="X221" t="s">
        <v>203</v>
      </c>
      <c r="Y221" t="s">
        <v>204</v>
      </c>
      <c r="Z221" t="s">
        <v>204</v>
      </c>
      <c r="AA221">
        <v>0</v>
      </c>
      <c r="AB221" t="s">
        <v>142</v>
      </c>
      <c r="AC221" t="s">
        <v>143</v>
      </c>
      <c r="AD221" t="s">
        <v>144</v>
      </c>
      <c r="AE221" t="str">
        <f t="shared" si="52"/>
        <v>07</v>
      </c>
      <c r="AF221" t="s">
        <v>40</v>
      </c>
    </row>
    <row r="222" spans="1:32" x14ac:dyDescent="0.25">
      <c r="A222">
        <v>5</v>
      </c>
      <c r="B222">
        <v>420</v>
      </c>
      <c r="C222" t="str">
        <f>"51"</f>
        <v>51</v>
      </c>
      <c r="D222">
        <v>6299</v>
      </c>
      <c r="E222" t="str">
        <f t="shared" si="51"/>
        <v>00</v>
      </c>
      <c r="F222" t="str">
        <f>"999"</f>
        <v>999</v>
      </c>
      <c r="G222">
        <v>5</v>
      </c>
      <c r="H222" t="str">
        <f>"99"</f>
        <v>99</v>
      </c>
      <c r="I222" t="str">
        <f t="shared" si="48"/>
        <v>0</v>
      </c>
      <c r="J222" t="str">
        <f t="shared" si="55"/>
        <v>00</v>
      </c>
      <c r="K222">
        <v>20150709</v>
      </c>
      <c r="L222" t="str">
        <f>"002702"</f>
        <v>002702</v>
      </c>
      <c r="M222" t="str">
        <f>"00303"</f>
        <v>00303</v>
      </c>
      <c r="N222" t="s">
        <v>205</v>
      </c>
      <c r="O222" s="1">
        <v>2280</v>
      </c>
      <c r="Q222" t="s">
        <v>33</v>
      </c>
      <c r="R222" t="s">
        <v>34</v>
      </c>
      <c r="S222" t="s">
        <v>35</v>
      </c>
      <c r="T222" t="s">
        <v>35</v>
      </c>
      <c r="U222" t="s">
        <v>34</v>
      </c>
      <c r="V222" t="str">
        <f>""</f>
        <v/>
      </c>
      <c r="W222">
        <v>20150714</v>
      </c>
      <c r="X222" t="s">
        <v>203</v>
      </c>
      <c r="Y222" t="s">
        <v>204</v>
      </c>
      <c r="Z222" t="s">
        <v>204</v>
      </c>
      <c r="AA222">
        <v>0</v>
      </c>
      <c r="AB222" t="s">
        <v>142</v>
      </c>
      <c r="AC222" t="s">
        <v>143</v>
      </c>
      <c r="AD222" t="s">
        <v>144</v>
      </c>
      <c r="AE222" t="str">
        <f t="shared" si="52"/>
        <v>07</v>
      </c>
      <c r="AF222" t="s">
        <v>40</v>
      </c>
    </row>
    <row r="223" spans="1:32" x14ac:dyDescent="0.25">
      <c r="A223">
        <v>5</v>
      </c>
      <c r="B223">
        <v>420</v>
      </c>
      <c r="C223" t="str">
        <f>"11"</f>
        <v>11</v>
      </c>
      <c r="D223">
        <v>6219</v>
      </c>
      <c r="E223" t="str">
        <f t="shared" si="51"/>
        <v>00</v>
      </c>
      <c r="F223" t="str">
        <f>"001"</f>
        <v>001</v>
      </c>
      <c r="G223">
        <v>5</v>
      </c>
      <c r="H223" t="str">
        <f>"11"</f>
        <v>11</v>
      </c>
      <c r="I223" t="str">
        <f t="shared" si="48"/>
        <v>0</v>
      </c>
      <c r="J223" t="str">
        <f t="shared" si="55"/>
        <v>00</v>
      </c>
      <c r="K223">
        <v>20150717</v>
      </c>
      <c r="L223" t="str">
        <f>"002703"</f>
        <v>002703</v>
      </c>
      <c r="M223" t="str">
        <f>"00704"</f>
        <v>00704</v>
      </c>
      <c r="N223" t="s">
        <v>164</v>
      </c>
      <c r="O223" s="1">
        <v>1034.8900000000001</v>
      </c>
      <c r="Q223" t="s">
        <v>33</v>
      </c>
      <c r="R223" t="s">
        <v>34</v>
      </c>
      <c r="S223" t="s">
        <v>35</v>
      </c>
      <c r="T223" t="s">
        <v>35</v>
      </c>
      <c r="U223" t="s">
        <v>34</v>
      </c>
      <c r="V223" t="str">
        <f>""</f>
        <v/>
      </c>
      <c r="W223">
        <v>20150804</v>
      </c>
      <c r="X223" t="s">
        <v>165</v>
      </c>
      <c r="Y223" t="s">
        <v>141</v>
      </c>
      <c r="Z223" t="s">
        <v>141</v>
      </c>
      <c r="AA223">
        <v>0</v>
      </c>
      <c r="AB223" t="s">
        <v>142</v>
      </c>
      <c r="AC223" t="s">
        <v>41</v>
      </c>
      <c r="AD223" t="s">
        <v>144</v>
      </c>
      <c r="AE223" t="str">
        <f t="shared" si="52"/>
        <v>07</v>
      </c>
      <c r="AF223" t="s">
        <v>40</v>
      </c>
    </row>
    <row r="224" spans="1:32" x14ac:dyDescent="0.25">
      <c r="A224">
        <v>5</v>
      </c>
      <c r="B224">
        <v>420</v>
      </c>
      <c r="C224" t="str">
        <f>"11"</f>
        <v>11</v>
      </c>
      <c r="D224">
        <v>6219</v>
      </c>
      <c r="E224" t="str">
        <f t="shared" si="51"/>
        <v>00</v>
      </c>
      <c r="F224" t="str">
        <f t="shared" ref="F224:F236" si="56">"999"</f>
        <v>999</v>
      </c>
      <c r="G224">
        <v>5</v>
      </c>
      <c r="H224" t="str">
        <f>"11"</f>
        <v>11</v>
      </c>
      <c r="I224" t="str">
        <f t="shared" si="48"/>
        <v>0</v>
      </c>
      <c r="J224" t="str">
        <f t="shared" si="55"/>
        <v>00</v>
      </c>
      <c r="K224">
        <v>20150717</v>
      </c>
      <c r="L224" t="str">
        <f>"002703"</f>
        <v>002703</v>
      </c>
      <c r="M224" t="str">
        <f>"00704"</f>
        <v>00704</v>
      </c>
      <c r="N224" t="s">
        <v>164</v>
      </c>
      <c r="O224" s="1">
        <v>1579.85</v>
      </c>
      <c r="Q224" t="s">
        <v>33</v>
      </c>
      <c r="R224" t="s">
        <v>34</v>
      </c>
      <c r="S224" t="s">
        <v>35</v>
      </c>
      <c r="T224" t="s">
        <v>35</v>
      </c>
      <c r="U224" t="s">
        <v>34</v>
      </c>
      <c r="V224" t="str">
        <f>""</f>
        <v/>
      </c>
      <c r="W224">
        <v>20150804</v>
      </c>
      <c r="X224" t="s">
        <v>166</v>
      </c>
      <c r="Y224" t="s">
        <v>141</v>
      </c>
      <c r="Z224" t="s">
        <v>141</v>
      </c>
      <c r="AA224">
        <v>0</v>
      </c>
      <c r="AB224" t="s">
        <v>142</v>
      </c>
      <c r="AC224" t="s">
        <v>143</v>
      </c>
      <c r="AD224" t="s">
        <v>144</v>
      </c>
      <c r="AE224" t="str">
        <f t="shared" si="52"/>
        <v>07</v>
      </c>
      <c r="AF224" t="s">
        <v>40</v>
      </c>
    </row>
    <row r="225" spans="1:32" x14ac:dyDescent="0.25">
      <c r="A225">
        <v>5</v>
      </c>
      <c r="B225">
        <v>420</v>
      </c>
      <c r="C225" t="str">
        <f>"51"</f>
        <v>51</v>
      </c>
      <c r="D225">
        <v>6299</v>
      </c>
      <c r="E225" t="str">
        <f t="shared" si="51"/>
        <v>00</v>
      </c>
      <c r="F225" t="str">
        <f t="shared" si="56"/>
        <v>999</v>
      </c>
      <c r="G225">
        <v>5</v>
      </c>
      <c r="H225" t="str">
        <f>"99"</f>
        <v>99</v>
      </c>
      <c r="I225" t="str">
        <f t="shared" si="48"/>
        <v>0</v>
      </c>
      <c r="J225" t="str">
        <f t="shared" si="55"/>
        <v>00</v>
      </c>
      <c r="K225">
        <v>20150717</v>
      </c>
      <c r="L225" t="str">
        <f>"002704"</f>
        <v>002704</v>
      </c>
      <c r="M225" t="str">
        <f>"00521"</f>
        <v>00521</v>
      </c>
      <c r="N225" t="s">
        <v>202</v>
      </c>
      <c r="O225">
        <v>475</v>
      </c>
      <c r="Q225" t="s">
        <v>33</v>
      </c>
      <c r="R225" t="s">
        <v>34</v>
      </c>
      <c r="S225" t="s">
        <v>35</v>
      </c>
      <c r="T225" t="s">
        <v>35</v>
      </c>
      <c r="U225" t="s">
        <v>34</v>
      </c>
      <c r="V225" t="str">
        <f>""</f>
        <v/>
      </c>
      <c r="W225">
        <v>20150804</v>
      </c>
      <c r="X225" t="s">
        <v>203</v>
      </c>
      <c r="Y225" t="s">
        <v>204</v>
      </c>
      <c r="Z225" t="s">
        <v>204</v>
      </c>
      <c r="AA225">
        <v>0</v>
      </c>
      <c r="AB225" t="s">
        <v>142</v>
      </c>
      <c r="AC225" t="s">
        <v>143</v>
      </c>
      <c r="AD225" t="s">
        <v>144</v>
      </c>
      <c r="AE225" t="str">
        <f t="shared" si="52"/>
        <v>07</v>
      </c>
      <c r="AF225" t="s">
        <v>40</v>
      </c>
    </row>
    <row r="226" spans="1:32" x14ac:dyDescent="0.25">
      <c r="A226">
        <v>5</v>
      </c>
      <c r="B226">
        <v>420</v>
      </c>
      <c r="C226" t="str">
        <f>"51"</f>
        <v>51</v>
      </c>
      <c r="D226">
        <v>6299</v>
      </c>
      <c r="E226" t="str">
        <f t="shared" si="51"/>
        <v>00</v>
      </c>
      <c r="F226" t="str">
        <f t="shared" si="56"/>
        <v>999</v>
      </c>
      <c r="G226">
        <v>5</v>
      </c>
      <c r="H226" t="str">
        <f>"99"</f>
        <v>99</v>
      </c>
      <c r="I226" t="str">
        <f t="shared" si="48"/>
        <v>0</v>
      </c>
      <c r="J226" t="str">
        <f t="shared" si="55"/>
        <v>00</v>
      </c>
      <c r="K226">
        <v>20150717</v>
      </c>
      <c r="L226" t="str">
        <f>"002705"</f>
        <v>002705</v>
      </c>
      <c r="M226" t="str">
        <f>"00303"</f>
        <v>00303</v>
      </c>
      <c r="N226" t="s">
        <v>205</v>
      </c>
      <c r="O226" s="1">
        <v>2280</v>
      </c>
      <c r="Q226" t="s">
        <v>33</v>
      </c>
      <c r="R226" t="s">
        <v>34</v>
      </c>
      <c r="S226" t="s">
        <v>35</v>
      </c>
      <c r="T226" t="s">
        <v>35</v>
      </c>
      <c r="U226" t="s">
        <v>34</v>
      </c>
      <c r="V226" t="str">
        <f>""</f>
        <v/>
      </c>
      <c r="W226">
        <v>20150804</v>
      </c>
      <c r="X226" t="s">
        <v>203</v>
      </c>
      <c r="Y226" t="s">
        <v>204</v>
      </c>
      <c r="Z226" t="s">
        <v>204</v>
      </c>
      <c r="AA226">
        <v>0</v>
      </c>
      <c r="AB226" t="s">
        <v>142</v>
      </c>
      <c r="AC226" t="s">
        <v>143</v>
      </c>
      <c r="AD226" t="s">
        <v>144</v>
      </c>
      <c r="AE226" t="str">
        <f t="shared" si="52"/>
        <v>07</v>
      </c>
      <c r="AF226" t="s">
        <v>40</v>
      </c>
    </row>
    <row r="227" spans="1:32" x14ac:dyDescent="0.25">
      <c r="A227">
        <v>5</v>
      </c>
      <c r="B227">
        <v>420</v>
      </c>
      <c r="C227" t="str">
        <f>"51"</f>
        <v>51</v>
      </c>
      <c r="D227">
        <v>6299</v>
      </c>
      <c r="E227" t="str">
        <f t="shared" si="51"/>
        <v>00</v>
      </c>
      <c r="F227" t="str">
        <f t="shared" si="56"/>
        <v>999</v>
      </c>
      <c r="G227">
        <v>5</v>
      </c>
      <c r="H227" t="str">
        <f>"99"</f>
        <v>99</v>
      </c>
      <c r="I227" t="str">
        <f t="shared" si="48"/>
        <v>0</v>
      </c>
      <c r="J227" t="str">
        <f t="shared" si="55"/>
        <v>00</v>
      </c>
      <c r="K227">
        <v>20150723</v>
      </c>
      <c r="L227" t="str">
        <f>"002706"</f>
        <v>002706</v>
      </c>
      <c r="M227" t="str">
        <f>"00521"</f>
        <v>00521</v>
      </c>
      <c r="N227" t="s">
        <v>202</v>
      </c>
      <c r="O227">
        <v>570</v>
      </c>
      <c r="Q227" t="s">
        <v>33</v>
      </c>
      <c r="R227" t="s">
        <v>34</v>
      </c>
      <c r="S227" t="s">
        <v>35</v>
      </c>
      <c r="T227" t="s">
        <v>35</v>
      </c>
      <c r="U227" t="s">
        <v>34</v>
      </c>
      <c r="V227" t="str">
        <f>""</f>
        <v/>
      </c>
      <c r="W227">
        <v>20150804</v>
      </c>
      <c r="X227" t="s">
        <v>203</v>
      </c>
      <c r="Y227" t="s">
        <v>204</v>
      </c>
      <c r="Z227" t="s">
        <v>204</v>
      </c>
      <c r="AA227">
        <v>0</v>
      </c>
      <c r="AB227" t="s">
        <v>142</v>
      </c>
      <c r="AC227" t="s">
        <v>143</v>
      </c>
      <c r="AD227" t="s">
        <v>144</v>
      </c>
      <c r="AE227" t="str">
        <f t="shared" si="52"/>
        <v>07</v>
      </c>
      <c r="AF227" t="s">
        <v>40</v>
      </c>
    </row>
    <row r="228" spans="1:32" x14ac:dyDescent="0.25">
      <c r="A228">
        <v>5</v>
      </c>
      <c r="B228">
        <v>420</v>
      </c>
      <c r="C228" t="str">
        <f>"52"</f>
        <v>52</v>
      </c>
      <c r="D228">
        <v>6219</v>
      </c>
      <c r="E228" t="str">
        <f t="shared" si="51"/>
        <v>00</v>
      </c>
      <c r="F228" t="str">
        <f t="shared" si="56"/>
        <v>999</v>
      </c>
      <c r="G228">
        <v>5</v>
      </c>
      <c r="H228" t="str">
        <f>"99"</f>
        <v>99</v>
      </c>
      <c r="I228" t="str">
        <f t="shared" si="48"/>
        <v>0</v>
      </c>
      <c r="J228" t="str">
        <f t="shared" si="55"/>
        <v>00</v>
      </c>
      <c r="K228">
        <v>20150723</v>
      </c>
      <c r="L228" t="str">
        <f>"002707"</f>
        <v>002707</v>
      </c>
      <c r="M228" t="str">
        <f>"00889"</f>
        <v>00889</v>
      </c>
      <c r="N228" t="s">
        <v>207</v>
      </c>
      <c r="O228" s="1">
        <v>1275</v>
      </c>
      <c r="Q228" t="s">
        <v>33</v>
      </c>
      <c r="R228" t="s">
        <v>34</v>
      </c>
      <c r="S228" t="s">
        <v>35</v>
      </c>
      <c r="T228" t="s">
        <v>35</v>
      </c>
      <c r="U228" t="s">
        <v>34</v>
      </c>
      <c r="V228" t="str">
        <f>""</f>
        <v/>
      </c>
      <c r="W228">
        <v>20150805</v>
      </c>
      <c r="X228" t="s">
        <v>208</v>
      </c>
      <c r="Y228" t="s">
        <v>179</v>
      </c>
      <c r="Z228" t="s">
        <v>179</v>
      </c>
      <c r="AA228">
        <v>0</v>
      </c>
      <c r="AB228" t="s">
        <v>142</v>
      </c>
      <c r="AC228" t="s">
        <v>143</v>
      </c>
      <c r="AD228" t="s">
        <v>144</v>
      </c>
      <c r="AE228" t="str">
        <f t="shared" si="52"/>
        <v>07</v>
      </c>
      <c r="AF228" t="s">
        <v>40</v>
      </c>
    </row>
    <row r="229" spans="1:32" x14ac:dyDescent="0.25">
      <c r="A229">
        <v>5</v>
      </c>
      <c r="B229">
        <v>420</v>
      </c>
      <c r="C229" t="str">
        <f>"51"</f>
        <v>51</v>
      </c>
      <c r="D229">
        <v>6299</v>
      </c>
      <c r="E229" t="str">
        <f t="shared" si="51"/>
        <v>00</v>
      </c>
      <c r="F229" t="str">
        <f t="shared" si="56"/>
        <v>999</v>
      </c>
      <c r="G229">
        <v>5</v>
      </c>
      <c r="H229" t="str">
        <f>"99"</f>
        <v>99</v>
      </c>
      <c r="I229" t="str">
        <f t="shared" si="48"/>
        <v>0</v>
      </c>
      <c r="J229" t="str">
        <f t="shared" si="55"/>
        <v>00</v>
      </c>
      <c r="K229">
        <v>20150723</v>
      </c>
      <c r="L229" t="str">
        <f>"002708"</f>
        <v>002708</v>
      </c>
      <c r="M229" t="str">
        <f>"00303"</f>
        <v>00303</v>
      </c>
      <c r="N229" t="s">
        <v>205</v>
      </c>
      <c r="O229" s="1">
        <v>1752</v>
      </c>
      <c r="Q229" t="s">
        <v>33</v>
      </c>
      <c r="R229" t="s">
        <v>34</v>
      </c>
      <c r="S229" t="s">
        <v>35</v>
      </c>
      <c r="T229" t="s">
        <v>35</v>
      </c>
      <c r="U229" t="s">
        <v>34</v>
      </c>
      <c r="V229" t="str">
        <f>""</f>
        <v/>
      </c>
      <c r="W229">
        <v>20150805</v>
      </c>
      <c r="X229" t="s">
        <v>203</v>
      </c>
      <c r="Y229" t="s">
        <v>204</v>
      </c>
      <c r="Z229" t="s">
        <v>204</v>
      </c>
      <c r="AA229">
        <v>0</v>
      </c>
      <c r="AB229" t="s">
        <v>142</v>
      </c>
      <c r="AC229" t="s">
        <v>143</v>
      </c>
      <c r="AD229" t="s">
        <v>144</v>
      </c>
      <c r="AE229" t="str">
        <f t="shared" si="52"/>
        <v>07</v>
      </c>
      <c r="AF229" t="s">
        <v>40</v>
      </c>
    </row>
    <row r="230" spans="1:32" x14ac:dyDescent="0.25">
      <c r="A230">
        <v>5</v>
      </c>
      <c r="B230">
        <v>224</v>
      </c>
      <c r="C230" t="str">
        <f>"11"</f>
        <v>11</v>
      </c>
      <c r="D230">
        <v>6219</v>
      </c>
      <c r="E230" t="str">
        <f t="shared" si="51"/>
        <v>00</v>
      </c>
      <c r="F230" t="str">
        <f t="shared" si="56"/>
        <v>999</v>
      </c>
      <c r="G230">
        <v>5</v>
      </c>
      <c r="H230" t="str">
        <f>"23"</f>
        <v>23</v>
      </c>
      <c r="I230" t="str">
        <f t="shared" si="48"/>
        <v>0</v>
      </c>
      <c r="J230" t="str">
        <f t="shared" si="55"/>
        <v>00</v>
      </c>
      <c r="K230">
        <v>20150724</v>
      </c>
      <c r="L230" t="str">
        <f>"002709"</f>
        <v>002709</v>
      </c>
      <c r="M230" t="str">
        <f>"00213"</f>
        <v>00213</v>
      </c>
      <c r="N230" t="s">
        <v>187</v>
      </c>
      <c r="O230" s="1">
        <v>2700</v>
      </c>
      <c r="Q230" t="s">
        <v>33</v>
      </c>
      <c r="R230" t="s">
        <v>34</v>
      </c>
      <c r="S230" t="s">
        <v>35</v>
      </c>
      <c r="T230" t="s">
        <v>35</v>
      </c>
      <c r="U230" t="s">
        <v>34</v>
      </c>
      <c r="V230" t="str">
        <f>""</f>
        <v/>
      </c>
      <c r="W230">
        <v>20150805</v>
      </c>
      <c r="X230" t="s">
        <v>209</v>
      </c>
      <c r="Y230" t="s">
        <v>210</v>
      </c>
      <c r="Z230" t="s">
        <v>210</v>
      </c>
      <c r="AA230">
        <v>0</v>
      </c>
      <c r="AB230" t="s">
        <v>211</v>
      </c>
      <c r="AC230" t="s">
        <v>143</v>
      </c>
      <c r="AD230" t="s">
        <v>144</v>
      </c>
      <c r="AE230" t="str">
        <f t="shared" si="52"/>
        <v>07</v>
      </c>
      <c r="AF230" t="s">
        <v>40</v>
      </c>
    </row>
    <row r="231" spans="1:32" x14ac:dyDescent="0.25">
      <c r="A231">
        <v>5</v>
      </c>
      <c r="B231">
        <v>420</v>
      </c>
      <c r="C231" t="str">
        <f>"34"</f>
        <v>34</v>
      </c>
      <c r="D231">
        <v>6219</v>
      </c>
      <c r="E231" t="str">
        <f t="shared" si="51"/>
        <v>00</v>
      </c>
      <c r="F231" t="str">
        <f t="shared" si="56"/>
        <v>999</v>
      </c>
      <c r="G231">
        <v>5</v>
      </c>
      <c r="H231" t="str">
        <f>"99"</f>
        <v>99</v>
      </c>
      <c r="I231" t="str">
        <f t="shared" si="48"/>
        <v>0</v>
      </c>
      <c r="J231" t="str">
        <f t="shared" si="55"/>
        <v>00</v>
      </c>
      <c r="K231">
        <v>20150724</v>
      </c>
      <c r="L231" t="str">
        <f>"002710"</f>
        <v>002710</v>
      </c>
      <c r="M231" t="str">
        <f>"00516"</f>
        <v>00516</v>
      </c>
      <c r="N231" t="s">
        <v>139</v>
      </c>
      <c r="O231" s="1">
        <v>1143</v>
      </c>
      <c r="Q231" t="s">
        <v>33</v>
      </c>
      <c r="R231" t="s">
        <v>34</v>
      </c>
      <c r="S231" t="s">
        <v>35</v>
      </c>
      <c r="T231" t="s">
        <v>35</v>
      </c>
      <c r="U231" t="s">
        <v>34</v>
      </c>
      <c r="V231" t="str">
        <f>""</f>
        <v/>
      </c>
      <c r="W231">
        <v>20150805</v>
      </c>
      <c r="X231" t="s">
        <v>140</v>
      </c>
      <c r="Y231" t="s">
        <v>179</v>
      </c>
      <c r="Z231" t="s">
        <v>179</v>
      </c>
      <c r="AA231">
        <v>0</v>
      </c>
      <c r="AB231" t="s">
        <v>142</v>
      </c>
      <c r="AC231" t="s">
        <v>143</v>
      </c>
      <c r="AD231" t="s">
        <v>144</v>
      </c>
      <c r="AE231" t="str">
        <f t="shared" si="52"/>
        <v>07</v>
      </c>
      <c r="AF231" t="s">
        <v>40</v>
      </c>
    </row>
    <row r="232" spans="1:32" x14ac:dyDescent="0.25">
      <c r="A232">
        <v>5</v>
      </c>
      <c r="B232">
        <v>420</v>
      </c>
      <c r="C232" t="str">
        <f>"51"</f>
        <v>51</v>
      </c>
      <c r="D232">
        <v>6299</v>
      </c>
      <c r="E232" t="str">
        <f t="shared" si="51"/>
        <v>00</v>
      </c>
      <c r="F232" t="str">
        <f t="shared" si="56"/>
        <v>999</v>
      </c>
      <c r="G232">
        <v>5</v>
      </c>
      <c r="H232" t="str">
        <f>"99"</f>
        <v>99</v>
      </c>
      <c r="I232" t="str">
        <f t="shared" si="48"/>
        <v>0</v>
      </c>
      <c r="J232" t="str">
        <f t="shared" si="55"/>
        <v>00</v>
      </c>
      <c r="K232">
        <v>20150730</v>
      </c>
      <c r="L232" t="str">
        <f>"002711"</f>
        <v>002711</v>
      </c>
      <c r="M232" t="str">
        <f>"00303"</f>
        <v>00303</v>
      </c>
      <c r="N232" t="s">
        <v>205</v>
      </c>
      <c r="O232" s="1">
        <v>2736</v>
      </c>
      <c r="Q232" t="s">
        <v>33</v>
      </c>
      <c r="R232" t="s">
        <v>34</v>
      </c>
      <c r="S232" t="s">
        <v>35</v>
      </c>
      <c r="T232" t="s">
        <v>35</v>
      </c>
      <c r="U232" t="s">
        <v>34</v>
      </c>
      <c r="V232" t="str">
        <f>""</f>
        <v/>
      </c>
      <c r="W232">
        <v>20150805</v>
      </c>
      <c r="X232" t="s">
        <v>203</v>
      </c>
      <c r="Y232" t="s">
        <v>204</v>
      </c>
      <c r="Z232" t="s">
        <v>204</v>
      </c>
      <c r="AA232">
        <v>0</v>
      </c>
      <c r="AB232" t="s">
        <v>142</v>
      </c>
      <c r="AC232" t="s">
        <v>143</v>
      </c>
      <c r="AD232" t="s">
        <v>144</v>
      </c>
      <c r="AE232" t="str">
        <f t="shared" si="52"/>
        <v>07</v>
      </c>
      <c r="AF232" t="s">
        <v>40</v>
      </c>
    </row>
    <row r="233" spans="1:32" x14ac:dyDescent="0.25">
      <c r="A233">
        <v>5</v>
      </c>
      <c r="B233">
        <v>420</v>
      </c>
      <c r="C233" t="str">
        <f>"51"</f>
        <v>51</v>
      </c>
      <c r="D233">
        <v>6299</v>
      </c>
      <c r="E233" t="str">
        <f t="shared" si="51"/>
        <v>00</v>
      </c>
      <c r="F233" t="str">
        <f t="shared" si="56"/>
        <v>999</v>
      </c>
      <c r="G233">
        <v>5</v>
      </c>
      <c r="H233" t="str">
        <f>"99"</f>
        <v>99</v>
      </c>
      <c r="I233" t="str">
        <f t="shared" si="48"/>
        <v>0</v>
      </c>
      <c r="J233" t="str">
        <f t="shared" si="55"/>
        <v>00</v>
      </c>
      <c r="K233">
        <v>20150730</v>
      </c>
      <c r="L233" t="str">
        <f>"002712"</f>
        <v>002712</v>
      </c>
      <c r="M233" t="str">
        <f>"00521"</f>
        <v>00521</v>
      </c>
      <c r="N233" t="s">
        <v>202</v>
      </c>
      <c r="O233">
        <v>570</v>
      </c>
      <c r="Q233" t="s">
        <v>33</v>
      </c>
      <c r="R233" t="s">
        <v>34</v>
      </c>
      <c r="S233" t="s">
        <v>35</v>
      </c>
      <c r="T233" t="s">
        <v>35</v>
      </c>
      <c r="U233" t="s">
        <v>34</v>
      </c>
      <c r="V233" t="str">
        <f>""</f>
        <v/>
      </c>
      <c r="W233">
        <v>20150805</v>
      </c>
      <c r="X233" t="s">
        <v>203</v>
      </c>
      <c r="Y233" t="s">
        <v>204</v>
      </c>
      <c r="Z233" t="s">
        <v>204</v>
      </c>
      <c r="AA233">
        <v>0</v>
      </c>
      <c r="AB233" t="s">
        <v>142</v>
      </c>
      <c r="AC233" t="s">
        <v>143</v>
      </c>
      <c r="AD233" t="s">
        <v>144</v>
      </c>
      <c r="AE233" t="str">
        <f t="shared" si="52"/>
        <v>07</v>
      </c>
      <c r="AF233" t="s">
        <v>40</v>
      </c>
    </row>
    <row r="234" spans="1:32" x14ac:dyDescent="0.25">
      <c r="A234">
        <v>5</v>
      </c>
      <c r="B234">
        <v>420</v>
      </c>
      <c r="C234" t="str">
        <f>"11"</f>
        <v>11</v>
      </c>
      <c r="D234">
        <v>6269</v>
      </c>
      <c r="E234" t="str">
        <f t="shared" si="51"/>
        <v>00</v>
      </c>
      <c r="F234" t="str">
        <f t="shared" si="56"/>
        <v>999</v>
      </c>
      <c r="G234">
        <v>5</v>
      </c>
      <c r="H234" t="str">
        <f>"11"</f>
        <v>11</v>
      </c>
      <c r="I234" t="str">
        <f t="shared" si="48"/>
        <v>0</v>
      </c>
      <c r="J234" t="str">
        <f t="shared" si="55"/>
        <v>00</v>
      </c>
      <c r="K234">
        <v>20140911</v>
      </c>
      <c r="L234" t="str">
        <f>"014416"</f>
        <v>014416</v>
      </c>
      <c r="M234" t="str">
        <f>"00628"</f>
        <v>00628</v>
      </c>
      <c r="N234" t="s">
        <v>212</v>
      </c>
      <c r="O234">
        <v>384.61</v>
      </c>
      <c r="Q234" t="s">
        <v>33</v>
      </c>
      <c r="R234" t="s">
        <v>34</v>
      </c>
      <c r="S234" t="s">
        <v>35</v>
      </c>
      <c r="T234" t="s">
        <v>35</v>
      </c>
      <c r="U234" t="s">
        <v>34</v>
      </c>
      <c r="V234" t="str">
        <f>""</f>
        <v/>
      </c>
      <c r="W234">
        <v>20140909</v>
      </c>
      <c r="X234" t="s">
        <v>213</v>
      </c>
      <c r="Y234" t="s">
        <v>214</v>
      </c>
      <c r="Z234" t="s">
        <v>214</v>
      </c>
      <c r="AA234">
        <v>0</v>
      </c>
      <c r="AB234" t="s">
        <v>142</v>
      </c>
      <c r="AC234" t="s">
        <v>143</v>
      </c>
      <c r="AD234" t="s">
        <v>40</v>
      </c>
      <c r="AE234" t="str">
        <f t="shared" ref="AE234:AE265" si="57">"09"</f>
        <v>09</v>
      </c>
      <c r="AF234" t="s">
        <v>40</v>
      </c>
    </row>
    <row r="235" spans="1:32" x14ac:dyDescent="0.25">
      <c r="A235">
        <v>5</v>
      </c>
      <c r="B235">
        <v>420</v>
      </c>
      <c r="C235" t="str">
        <f>"51"</f>
        <v>51</v>
      </c>
      <c r="D235">
        <v>6259</v>
      </c>
      <c r="E235" t="str">
        <f>"54"</f>
        <v>54</v>
      </c>
      <c r="F235" t="str">
        <f t="shared" si="56"/>
        <v>999</v>
      </c>
      <c r="G235">
        <v>5</v>
      </c>
      <c r="H235" t="str">
        <f>"99"</f>
        <v>99</v>
      </c>
      <c r="I235" t="str">
        <f t="shared" si="48"/>
        <v>0</v>
      </c>
      <c r="J235" t="str">
        <f t="shared" si="55"/>
        <v>00</v>
      </c>
      <c r="K235">
        <v>20140911</v>
      </c>
      <c r="L235" t="str">
        <f>"014417"</f>
        <v>014417</v>
      </c>
      <c r="M235" t="str">
        <f>"00030"</f>
        <v>00030</v>
      </c>
      <c r="N235" t="s">
        <v>215</v>
      </c>
      <c r="O235">
        <v>255.85</v>
      </c>
      <c r="Q235" t="s">
        <v>33</v>
      </c>
      <c r="R235" t="s">
        <v>34</v>
      </c>
      <c r="S235" t="s">
        <v>35</v>
      </c>
      <c r="T235" t="s">
        <v>35</v>
      </c>
      <c r="U235" t="s">
        <v>34</v>
      </c>
      <c r="V235" t="str">
        <f>""</f>
        <v/>
      </c>
      <c r="W235">
        <v>20140909</v>
      </c>
      <c r="X235" t="s">
        <v>216</v>
      </c>
      <c r="Y235" t="s">
        <v>217</v>
      </c>
      <c r="Z235" t="s">
        <v>217</v>
      </c>
      <c r="AA235">
        <v>0</v>
      </c>
      <c r="AB235" t="s">
        <v>142</v>
      </c>
      <c r="AC235" t="s">
        <v>143</v>
      </c>
      <c r="AD235" t="s">
        <v>40</v>
      </c>
      <c r="AE235" t="str">
        <f t="shared" si="57"/>
        <v>09</v>
      </c>
      <c r="AF235" t="s">
        <v>40</v>
      </c>
    </row>
    <row r="236" spans="1:32" x14ac:dyDescent="0.25">
      <c r="A236">
        <v>5</v>
      </c>
      <c r="B236">
        <v>420</v>
      </c>
      <c r="C236" t="str">
        <f>"52"</f>
        <v>52</v>
      </c>
      <c r="D236">
        <v>6219</v>
      </c>
      <c r="E236" t="str">
        <f>"00"</f>
        <v>00</v>
      </c>
      <c r="F236" t="str">
        <f t="shared" si="56"/>
        <v>999</v>
      </c>
      <c r="G236">
        <v>5</v>
      </c>
      <c r="H236" t="str">
        <f>"99"</f>
        <v>99</v>
      </c>
      <c r="I236" t="str">
        <f t="shared" si="48"/>
        <v>0</v>
      </c>
      <c r="J236" t="str">
        <f t="shared" si="55"/>
        <v>00</v>
      </c>
      <c r="K236">
        <v>20140911</v>
      </c>
      <c r="L236" t="str">
        <f>"014418"</f>
        <v>014418</v>
      </c>
      <c r="M236" t="str">
        <f>"00392"</f>
        <v>00392</v>
      </c>
      <c r="N236" t="s">
        <v>218</v>
      </c>
      <c r="O236">
        <v>35.950000000000003</v>
      </c>
      <c r="Q236" t="s">
        <v>33</v>
      </c>
      <c r="R236" t="s">
        <v>34</v>
      </c>
      <c r="S236" t="s">
        <v>35</v>
      </c>
      <c r="T236" t="s">
        <v>35</v>
      </c>
      <c r="U236" t="s">
        <v>34</v>
      </c>
      <c r="V236" t="str">
        <f>""</f>
        <v/>
      </c>
      <c r="W236">
        <v>20140911</v>
      </c>
      <c r="X236" t="s">
        <v>208</v>
      </c>
      <c r="Y236" t="s">
        <v>219</v>
      </c>
      <c r="Z236" t="s">
        <v>219</v>
      </c>
      <c r="AA236">
        <v>0</v>
      </c>
      <c r="AB236" t="s">
        <v>142</v>
      </c>
      <c r="AC236" t="s">
        <v>143</v>
      </c>
      <c r="AD236" t="s">
        <v>40</v>
      </c>
      <c r="AE236" t="str">
        <f t="shared" si="57"/>
        <v>09</v>
      </c>
      <c r="AF236" t="s">
        <v>40</v>
      </c>
    </row>
    <row r="237" spans="1:32" x14ac:dyDescent="0.25">
      <c r="A237">
        <v>5</v>
      </c>
      <c r="B237">
        <v>211</v>
      </c>
      <c r="C237" t="str">
        <f>"11"</f>
        <v>11</v>
      </c>
      <c r="D237">
        <v>6219</v>
      </c>
      <c r="E237" t="str">
        <f>"00"</f>
        <v>00</v>
      </c>
      <c r="F237" t="str">
        <f>"101"</f>
        <v>101</v>
      </c>
      <c r="G237">
        <v>5</v>
      </c>
      <c r="H237" t="str">
        <f>"30"</f>
        <v>30</v>
      </c>
      <c r="I237" t="str">
        <f t="shared" si="48"/>
        <v>0</v>
      </c>
      <c r="J237" t="str">
        <f t="shared" si="55"/>
        <v>00</v>
      </c>
      <c r="K237">
        <v>20140911</v>
      </c>
      <c r="L237" t="str">
        <f>"014419"</f>
        <v>014419</v>
      </c>
      <c r="M237" t="str">
        <f>"00734"</f>
        <v>00734</v>
      </c>
      <c r="N237" t="s">
        <v>220</v>
      </c>
      <c r="O237">
        <v>550</v>
      </c>
      <c r="Q237" t="s">
        <v>33</v>
      </c>
      <c r="R237" t="s">
        <v>34</v>
      </c>
      <c r="S237" t="s">
        <v>35</v>
      </c>
      <c r="T237" t="s">
        <v>35</v>
      </c>
      <c r="U237" t="s">
        <v>34</v>
      </c>
      <c r="V237" t="str">
        <f>""</f>
        <v/>
      </c>
      <c r="W237">
        <v>20140911</v>
      </c>
      <c r="X237" t="s">
        <v>181</v>
      </c>
      <c r="Y237" t="s">
        <v>141</v>
      </c>
      <c r="Z237" t="s">
        <v>141</v>
      </c>
      <c r="AA237">
        <v>0</v>
      </c>
      <c r="AB237" t="s">
        <v>174</v>
      </c>
      <c r="AC237" t="s">
        <v>41</v>
      </c>
      <c r="AD237" t="s">
        <v>40</v>
      </c>
      <c r="AE237" t="str">
        <f t="shared" si="57"/>
        <v>09</v>
      </c>
      <c r="AF237" t="s">
        <v>40</v>
      </c>
    </row>
    <row r="238" spans="1:32" x14ac:dyDescent="0.25">
      <c r="A238">
        <v>5</v>
      </c>
      <c r="B238">
        <v>420</v>
      </c>
      <c r="C238" t="str">
        <f>"61"</f>
        <v>61</v>
      </c>
      <c r="D238">
        <v>6219</v>
      </c>
      <c r="E238" t="str">
        <f>"00"</f>
        <v>00</v>
      </c>
      <c r="F238" t="str">
        <f t="shared" ref="F238:F245" si="58">"999"</f>
        <v>999</v>
      </c>
      <c r="G238">
        <v>5</v>
      </c>
      <c r="H238" t="str">
        <f>"11"</f>
        <v>11</v>
      </c>
      <c r="I238" t="str">
        <f t="shared" si="48"/>
        <v>0</v>
      </c>
      <c r="J238" t="str">
        <f t="shared" si="55"/>
        <v>00</v>
      </c>
      <c r="K238">
        <v>20140911</v>
      </c>
      <c r="L238" t="str">
        <f>"014421"</f>
        <v>014421</v>
      </c>
      <c r="M238" t="str">
        <f>"00566"</f>
        <v>00566</v>
      </c>
      <c r="N238" t="s">
        <v>221</v>
      </c>
      <c r="O238">
        <v>67</v>
      </c>
      <c r="Q238" t="s">
        <v>33</v>
      </c>
      <c r="R238" t="s">
        <v>34</v>
      </c>
      <c r="S238" t="s">
        <v>35</v>
      </c>
      <c r="T238" t="s">
        <v>35</v>
      </c>
      <c r="U238" t="s">
        <v>34</v>
      </c>
      <c r="V238" t="str">
        <f>""</f>
        <v/>
      </c>
      <c r="W238">
        <v>20140911</v>
      </c>
      <c r="X238" t="s">
        <v>222</v>
      </c>
      <c r="Y238" t="s">
        <v>223</v>
      </c>
      <c r="Z238" t="s">
        <v>223</v>
      </c>
      <c r="AA238">
        <v>0</v>
      </c>
      <c r="AB238" t="s">
        <v>142</v>
      </c>
      <c r="AC238" t="s">
        <v>143</v>
      </c>
      <c r="AD238" t="s">
        <v>40</v>
      </c>
      <c r="AE238" t="str">
        <f t="shared" si="57"/>
        <v>09</v>
      </c>
      <c r="AF238" t="s">
        <v>40</v>
      </c>
    </row>
    <row r="239" spans="1:32" x14ac:dyDescent="0.25">
      <c r="A239">
        <v>5</v>
      </c>
      <c r="B239">
        <v>420</v>
      </c>
      <c r="C239" t="str">
        <f>"51"</f>
        <v>51</v>
      </c>
      <c r="D239">
        <v>6269</v>
      </c>
      <c r="E239" t="str">
        <f>"00"</f>
        <v>00</v>
      </c>
      <c r="F239" t="str">
        <f t="shared" si="58"/>
        <v>999</v>
      </c>
      <c r="G239">
        <v>5</v>
      </c>
      <c r="H239" t="str">
        <f>"99"</f>
        <v>99</v>
      </c>
      <c r="I239" t="str">
        <f t="shared" si="48"/>
        <v>0</v>
      </c>
      <c r="J239" t="str">
        <f t="shared" si="55"/>
        <v>00</v>
      </c>
      <c r="K239">
        <v>20140911</v>
      </c>
      <c r="L239" t="str">
        <f>"014422"</f>
        <v>014422</v>
      </c>
      <c r="M239" t="str">
        <f>"00389"</f>
        <v>00389</v>
      </c>
      <c r="N239" t="s">
        <v>224</v>
      </c>
      <c r="O239">
        <v>135</v>
      </c>
      <c r="Q239" t="s">
        <v>33</v>
      </c>
      <c r="R239" t="s">
        <v>34</v>
      </c>
      <c r="S239" t="s">
        <v>35</v>
      </c>
      <c r="T239" t="s">
        <v>35</v>
      </c>
      <c r="U239" t="s">
        <v>34</v>
      </c>
      <c r="V239" t="str">
        <f>""</f>
        <v/>
      </c>
      <c r="W239">
        <v>20140911</v>
      </c>
      <c r="X239" t="s">
        <v>225</v>
      </c>
      <c r="Y239" t="s">
        <v>226</v>
      </c>
      <c r="Z239" t="s">
        <v>226</v>
      </c>
      <c r="AA239">
        <v>0</v>
      </c>
      <c r="AB239" t="s">
        <v>142</v>
      </c>
      <c r="AC239" t="s">
        <v>143</v>
      </c>
      <c r="AD239" t="s">
        <v>40</v>
      </c>
      <c r="AE239" t="str">
        <f t="shared" si="57"/>
        <v>09</v>
      </c>
      <c r="AF239" t="s">
        <v>40</v>
      </c>
    </row>
    <row r="240" spans="1:32" x14ac:dyDescent="0.25">
      <c r="A240">
        <v>5</v>
      </c>
      <c r="B240">
        <v>420</v>
      </c>
      <c r="C240" t="str">
        <f>"51"</f>
        <v>51</v>
      </c>
      <c r="D240">
        <v>6259</v>
      </c>
      <c r="E240" t="str">
        <f>"53"</f>
        <v>53</v>
      </c>
      <c r="F240" t="str">
        <f t="shared" si="58"/>
        <v>999</v>
      </c>
      <c r="G240">
        <v>5</v>
      </c>
      <c r="H240" t="str">
        <f>"99"</f>
        <v>99</v>
      </c>
      <c r="I240" t="str">
        <f t="shared" si="48"/>
        <v>0</v>
      </c>
      <c r="J240" t="str">
        <f t="shared" si="55"/>
        <v>00</v>
      </c>
      <c r="K240">
        <v>20140911</v>
      </c>
      <c r="L240" t="str">
        <f>"014423"</f>
        <v>014423</v>
      </c>
      <c r="M240" t="str">
        <f>"00726"</f>
        <v>00726</v>
      </c>
      <c r="N240" t="s">
        <v>227</v>
      </c>
      <c r="O240" s="1">
        <v>1741.63</v>
      </c>
      <c r="Q240" t="s">
        <v>33</v>
      </c>
      <c r="R240" t="s">
        <v>34</v>
      </c>
      <c r="S240" t="s">
        <v>35</v>
      </c>
      <c r="T240" t="s">
        <v>35</v>
      </c>
      <c r="U240" t="s">
        <v>34</v>
      </c>
      <c r="V240" t="str">
        <f>""</f>
        <v/>
      </c>
      <c r="W240">
        <v>20140909</v>
      </c>
      <c r="X240" t="s">
        <v>228</v>
      </c>
      <c r="Y240" t="s">
        <v>229</v>
      </c>
      <c r="Z240" t="s">
        <v>229</v>
      </c>
      <c r="AA240">
        <v>0</v>
      </c>
      <c r="AB240" t="s">
        <v>142</v>
      </c>
      <c r="AC240" t="s">
        <v>143</v>
      </c>
      <c r="AD240" t="s">
        <v>40</v>
      </c>
      <c r="AE240" t="str">
        <f t="shared" si="57"/>
        <v>09</v>
      </c>
      <c r="AF240" t="s">
        <v>40</v>
      </c>
    </row>
    <row r="241" spans="1:32" x14ac:dyDescent="0.25">
      <c r="A241">
        <v>5</v>
      </c>
      <c r="B241">
        <v>420</v>
      </c>
      <c r="C241" t="str">
        <f>"51"</f>
        <v>51</v>
      </c>
      <c r="D241">
        <v>6259</v>
      </c>
      <c r="E241" t="str">
        <f>"53"</f>
        <v>53</v>
      </c>
      <c r="F241" t="str">
        <f t="shared" si="58"/>
        <v>999</v>
      </c>
      <c r="G241">
        <v>5</v>
      </c>
      <c r="H241" t="str">
        <f>"99"</f>
        <v>99</v>
      </c>
      <c r="I241" t="str">
        <f t="shared" si="48"/>
        <v>0</v>
      </c>
      <c r="J241" t="str">
        <f t="shared" si="55"/>
        <v>00</v>
      </c>
      <c r="K241">
        <v>20140911</v>
      </c>
      <c r="L241" t="str">
        <f>"014423"</f>
        <v>014423</v>
      </c>
      <c r="M241" t="str">
        <f>"00726"</f>
        <v>00726</v>
      </c>
      <c r="N241" t="s">
        <v>227</v>
      </c>
      <c r="O241">
        <v>655.91</v>
      </c>
      <c r="Q241" t="s">
        <v>33</v>
      </c>
      <c r="R241" t="s">
        <v>34</v>
      </c>
      <c r="S241" t="s">
        <v>35</v>
      </c>
      <c r="T241" t="s">
        <v>35</v>
      </c>
      <c r="U241" t="s">
        <v>34</v>
      </c>
      <c r="V241" t="str">
        <f>""</f>
        <v/>
      </c>
      <c r="W241">
        <v>20140909</v>
      </c>
      <c r="X241" t="s">
        <v>228</v>
      </c>
      <c r="Y241" t="s">
        <v>229</v>
      </c>
      <c r="Z241" t="s">
        <v>229</v>
      </c>
      <c r="AA241">
        <v>0</v>
      </c>
      <c r="AB241" t="s">
        <v>142</v>
      </c>
      <c r="AC241" t="s">
        <v>143</v>
      </c>
      <c r="AD241" t="s">
        <v>40</v>
      </c>
      <c r="AE241" t="str">
        <f t="shared" si="57"/>
        <v>09</v>
      </c>
      <c r="AF241" t="s">
        <v>40</v>
      </c>
    </row>
    <row r="242" spans="1:32" x14ac:dyDescent="0.25">
      <c r="A242">
        <v>5</v>
      </c>
      <c r="B242">
        <v>420</v>
      </c>
      <c r="C242" t="str">
        <f>"51"</f>
        <v>51</v>
      </c>
      <c r="D242">
        <v>6259</v>
      </c>
      <c r="E242" t="str">
        <f>"53"</f>
        <v>53</v>
      </c>
      <c r="F242" t="str">
        <f t="shared" si="58"/>
        <v>999</v>
      </c>
      <c r="G242">
        <v>5</v>
      </c>
      <c r="H242" t="str">
        <f>"99"</f>
        <v>99</v>
      </c>
      <c r="I242" t="str">
        <f t="shared" si="48"/>
        <v>0</v>
      </c>
      <c r="J242" t="str">
        <f t="shared" si="55"/>
        <v>00</v>
      </c>
      <c r="K242">
        <v>20140911</v>
      </c>
      <c r="L242" t="str">
        <f>"014423"</f>
        <v>014423</v>
      </c>
      <c r="M242" t="str">
        <f>"00726"</f>
        <v>00726</v>
      </c>
      <c r="N242" t="s">
        <v>227</v>
      </c>
      <c r="O242">
        <v>497.16</v>
      </c>
      <c r="Q242" t="s">
        <v>33</v>
      </c>
      <c r="R242" t="s">
        <v>34</v>
      </c>
      <c r="S242" t="s">
        <v>35</v>
      </c>
      <c r="T242" t="s">
        <v>35</v>
      </c>
      <c r="U242" t="s">
        <v>34</v>
      </c>
      <c r="V242" t="str">
        <f>""</f>
        <v/>
      </c>
      <c r="W242">
        <v>20140909</v>
      </c>
      <c r="X242" t="s">
        <v>228</v>
      </c>
      <c r="Y242" t="s">
        <v>229</v>
      </c>
      <c r="Z242" t="s">
        <v>229</v>
      </c>
      <c r="AA242">
        <v>0</v>
      </c>
      <c r="AB242" t="s">
        <v>142</v>
      </c>
      <c r="AC242" t="s">
        <v>143</v>
      </c>
      <c r="AD242" t="s">
        <v>40</v>
      </c>
      <c r="AE242" t="str">
        <f t="shared" si="57"/>
        <v>09</v>
      </c>
      <c r="AF242" t="s">
        <v>40</v>
      </c>
    </row>
    <row r="243" spans="1:32" x14ac:dyDescent="0.25">
      <c r="A243">
        <v>5</v>
      </c>
      <c r="B243">
        <v>420</v>
      </c>
      <c r="C243" t="str">
        <f>"11"</f>
        <v>11</v>
      </c>
      <c r="D243">
        <v>6269</v>
      </c>
      <c r="E243" t="str">
        <f>"00"</f>
        <v>00</v>
      </c>
      <c r="F243" t="str">
        <f t="shared" si="58"/>
        <v>999</v>
      </c>
      <c r="G243">
        <v>5</v>
      </c>
      <c r="H243" t="str">
        <f>"11"</f>
        <v>11</v>
      </c>
      <c r="I243" t="str">
        <f t="shared" si="48"/>
        <v>0</v>
      </c>
      <c r="J243" t="str">
        <f t="shared" si="55"/>
        <v>00</v>
      </c>
      <c r="K243">
        <v>20140911</v>
      </c>
      <c r="L243" t="str">
        <f>"014424"</f>
        <v>014424</v>
      </c>
      <c r="M243" t="str">
        <f>"00218"</f>
        <v>00218</v>
      </c>
      <c r="N243" t="s">
        <v>230</v>
      </c>
      <c r="O243">
        <v>136.25</v>
      </c>
      <c r="Q243" t="s">
        <v>33</v>
      </c>
      <c r="R243" t="s">
        <v>34</v>
      </c>
      <c r="S243" t="s">
        <v>35</v>
      </c>
      <c r="T243" t="s">
        <v>35</v>
      </c>
      <c r="U243" t="s">
        <v>34</v>
      </c>
      <c r="V243" t="str">
        <f>""</f>
        <v/>
      </c>
      <c r="W243">
        <v>20140911</v>
      </c>
      <c r="X243" t="s">
        <v>213</v>
      </c>
      <c r="Y243" t="s">
        <v>231</v>
      </c>
      <c r="Z243" t="s">
        <v>231</v>
      </c>
      <c r="AA243">
        <v>0</v>
      </c>
      <c r="AB243" t="s">
        <v>142</v>
      </c>
      <c r="AC243" t="s">
        <v>143</v>
      </c>
      <c r="AD243" t="s">
        <v>40</v>
      </c>
      <c r="AE243" t="str">
        <f t="shared" si="57"/>
        <v>09</v>
      </c>
      <c r="AF243" t="s">
        <v>40</v>
      </c>
    </row>
    <row r="244" spans="1:32" x14ac:dyDescent="0.25">
      <c r="A244">
        <v>5</v>
      </c>
      <c r="B244">
        <v>420</v>
      </c>
      <c r="C244" t="str">
        <f>"33"</f>
        <v>33</v>
      </c>
      <c r="D244">
        <v>6219</v>
      </c>
      <c r="E244" t="str">
        <f>"00"</f>
        <v>00</v>
      </c>
      <c r="F244" t="str">
        <f t="shared" si="58"/>
        <v>999</v>
      </c>
      <c r="G244">
        <v>5</v>
      </c>
      <c r="H244" t="str">
        <f>"99"</f>
        <v>99</v>
      </c>
      <c r="I244" t="str">
        <f t="shared" si="48"/>
        <v>0</v>
      </c>
      <c r="J244" t="str">
        <f t="shared" si="55"/>
        <v>00</v>
      </c>
      <c r="K244">
        <v>20140911</v>
      </c>
      <c r="L244" t="str">
        <f>"014425"</f>
        <v>014425</v>
      </c>
      <c r="M244" t="str">
        <f>"00223"</f>
        <v>00223</v>
      </c>
      <c r="N244" t="s">
        <v>232</v>
      </c>
      <c r="O244">
        <v>322</v>
      </c>
      <c r="Q244" t="s">
        <v>33</v>
      </c>
      <c r="R244" t="s">
        <v>34</v>
      </c>
      <c r="S244" t="s">
        <v>35</v>
      </c>
      <c r="T244" t="s">
        <v>35</v>
      </c>
      <c r="U244" t="s">
        <v>34</v>
      </c>
      <c r="V244" t="str">
        <f>""</f>
        <v/>
      </c>
      <c r="W244">
        <v>20140911</v>
      </c>
      <c r="X244" t="s">
        <v>233</v>
      </c>
      <c r="Y244" t="s">
        <v>234</v>
      </c>
      <c r="Z244" t="s">
        <v>234</v>
      </c>
      <c r="AA244">
        <v>0</v>
      </c>
      <c r="AB244" t="s">
        <v>142</v>
      </c>
      <c r="AC244" t="s">
        <v>143</v>
      </c>
      <c r="AD244" t="s">
        <v>40</v>
      </c>
      <c r="AE244" t="str">
        <f t="shared" si="57"/>
        <v>09</v>
      </c>
      <c r="AF244" t="s">
        <v>40</v>
      </c>
    </row>
    <row r="245" spans="1:32" x14ac:dyDescent="0.25">
      <c r="A245">
        <v>5</v>
      </c>
      <c r="B245">
        <v>240</v>
      </c>
      <c r="C245" t="str">
        <f>"35"</f>
        <v>35</v>
      </c>
      <c r="D245">
        <v>6349</v>
      </c>
      <c r="E245" t="str">
        <f>"00"</f>
        <v>00</v>
      </c>
      <c r="F245" t="str">
        <f t="shared" si="58"/>
        <v>999</v>
      </c>
      <c r="G245">
        <v>5</v>
      </c>
      <c r="H245" t="str">
        <f>"99"</f>
        <v>99</v>
      </c>
      <c r="I245" t="str">
        <f t="shared" si="48"/>
        <v>0</v>
      </c>
      <c r="J245" t="str">
        <f t="shared" si="55"/>
        <v>00</v>
      </c>
      <c r="K245">
        <v>20140911</v>
      </c>
      <c r="L245" t="str">
        <f>"014426"</f>
        <v>014426</v>
      </c>
      <c r="M245" t="str">
        <f>"00216"</f>
        <v>00216</v>
      </c>
      <c r="N245" t="s">
        <v>235</v>
      </c>
      <c r="O245" s="1">
        <v>1901</v>
      </c>
      <c r="Q245" t="s">
        <v>33</v>
      </c>
      <c r="R245" t="s">
        <v>34</v>
      </c>
      <c r="S245" t="s">
        <v>35</v>
      </c>
      <c r="T245" t="s">
        <v>35</v>
      </c>
      <c r="U245" t="s">
        <v>34</v>
      </c>
      <c r="V245" t="str">
        <f>""</f>
        <v/>
      </c>
      <c r="W245">
        <v>20140909</v>
      </c>
      <c r="X245" t="s">
        <v>236</v>
      </c>
      <c r="Y245" t="s">
        <v>237</v>
      </c>
      <c r="Z245" t="s">
        <v>237</v>
      </c>
      <c r="AA245">
        <v>0</v>
      </c>
      <c r="AB245" t="s">
        <v>238</v>
      </c>
      <c r="AC245" t="s">
        <v>143</v>
      </c>
      <c r="AD245" t="s">
        <v>40</v>
      </c>
      <c r="AE245" t="str">
        <f t="shared" si="57"/>
        <v>09</v>
      </c>
      <c r="AF245" t="s">
        <v>40</v>
      </c>
    </row>
    <row r="246" spans="1:32" x14ac:dyDescent="0.25">
      <c r="A246">
        <v>5</v>
      </c>
      <c r="B246">
        <v>420</v>
      </c>
      <c r="C246" t="str">
        <f>"11"</f>
        <v>11</v>
      </c>
      <c r="D246">
        <v>6399</v>
      </c>
      <c r="E246" t="str">
        <f>"00"</f>
        <v>00</v>
      </c>
      <c r="F246" t="str">
        <f>"001"</f>
        <v>001</v>
      </c>
      <c r="G246">
        <v>5</v>
      </c>
      <c r="H246" t="str">
        <f>"11"</f>
        <v>11</v>
      </c>
      <c r="I246" t="str">
        <f t="shared" si="48"/>
        <v>0</v>
      </c>
      <c r="J246" t="str">
        <f t="shared" si="55"/>
        <v>00</v>
      </c>
      <c r="K246">
        <v>20140911</v>
      </c>
      <c r="L246" t="str">
        <f>"014427"</f>
        <v>014427</v>
      </c>
      <c r="M246" t="str">
        <f>"00762"</f>
        <v>00762</v>
      </c>
      <c r="N246" t="s">
        <v>52</v>
      </c>
      <c r="O246">
        <v>55.12</v>
      </c>
      <c r="Q246" t="s">
        <v>33</v>
      </c>
      <c r="R246" t="s">
        <v>34</v>
      </c>
      <c r="S246" t="s">
        <v>35</v>
      </c>
      <c r="T246" t="s">
        <v>35</v>
      </c>
      <c r="U246" t="s">
        <v>34</v>
      </c>
      <c r="V246" t="str">
        <f>""</f>
        <v/>
      </c>
      <c r="W246">
        <v>20140911</v>
      </c>
      <c r="X246" t="s">
        <v>239</v>
      </c>
      <c r="Y246" t="s">
        <v>240</v>
      </c>
      <c r="Z246" t="s">
        <v>240</v>
      </c>
      <c r="AA246">
        <v>0</v>
      </c>
      <c r="AB246" t="s">
        <v>142</v>
      </c>
      <c r="AC246" t="s">
        <v>41</v>
      </c>
      <c r="AD246" t="s">
        <v>40</v>
      </c>
      <c r="AE246" t="str">
        <f t="shared" si="57"/>
        <v>09</v>
      </c>
      <c r="AF246" t="s">
        <v>40</v>
      </c>
    </row>
    <row r="247" spans="1:32" x14ac:dyDescent="0.25">
      <c r="A247">
        <v>5</v>
      </c>
      <c r="B247">
        <v>420</v>
      </c>
      <c r="C247" t="str">
        <f>"11"</f>
        <v>11</v>
      </c>
      <c r="D247">
        <v>6399</v>
      </c>
      <c r="E247" t="str">
        <f>"00"</f>
        <v>00</v>
      </c>
      <c r="F247" t="str">
        <f>"041"</f>
        <v>041</v>
      </c>
      <c r="G247">
        <v>5</v>
      </c>
      <c r="H247" t="str">
        <f>"11"</f>
        <v>11</v>
      </c>
      <c r="I247" t="str">
        <f t="shared" si="48"/>
        <v>0</v>
      </c>
      <c r="J247" t="str">
        <f t="shared" si="55"/>
        <v>00</v>
      </c>
      <c r="K247">
        <v>20140911</v>
      </c>
      <c r="L247" t="str">
        <f>"014427"</f>
        <v>014427</v>
      </c>
      <c r="M247" t="str">
        <f>"00762"</f>
        <v>00762</v>
      </c>
      <c r="N247" t="s">
        <v>52</v>
      </c>
      <c r="O247">
        <v>55.12</v>
      </c>
      <c r="Q247" t="s">
        <v>33</v>
      </c>
      <c r="R247" t="s">
        <v>34</v>
      </c>
      <c r="S247" t="s">
        <v>35</v>
      </c>
      <c r="T247" t="s">
        <v>35</v>
      </c>
      <c r="U247" t="s">
        <v>34</v>
      </c>
      <c r="V247" t="str">
        <f>""</f>
        <v/>
      </c>
      <c r="W247">
        <v>20140911</v>
      </c>
      <c r="X247" t="s">
        <v>241</v>
      </c>
      <c r="Y247" t="s">
        <v>240</v>
      </c>
      <c r="Z247" t="s">
        <v>240</v>
      </c>
      <c r="AA247">
        <v>0</v>
      </c>
      <c r="AB247" t="s">
        <v>142</v>
      </c>
      <c r="AC247" t="s">
        <v>41</v>
      </c>
      <c r="AD247" t="s">
        <v>40</v>
      </c>
      <c r="AE247" t="str">
        <f t="shared" si="57"/>
        <v>09</v>
      </c>
      <c r="AF247" t="s">
        <v>40</v>
      </c>
    </row>
    <row r="248" spans="1:32" x14ac:dyDescent="0.25">
      <c r="A248">
        <v>5</v>
      </c>
      <c r="B248">
        <v>420</v>
      </c>
      <c r="C248" t="str">
        <f>"51"</f>
        <v>51</v>
      </c>
      <c r="D248">
        <v>6259</v>
      </c>
      <c r="E248" t="str">
        <f>"55"</f>
        <v>55</v>
      </c>
      <c r="F248" t="str">
        <f>"999"</f>
        <v>999</v>
      </c>
      <c r="G248">
        <v>5</v>
      </c>
      <c r="H248" t="str">
        <f>"99"</f>
        <v>99</v>
      </c>
      <c r="I248" t="str">
        <f t="shared" si="48"/>
        <v>0</v>
      </c>
      <c r="J248" t="str">
        <f t="shared" si="55"/>
        <v>00</v>
      </c>
      <c r="K248">
        <v>20140911</v>
      </c>
      <c r="L248" t="str">
        <f>"014428"</f>
        <v>014428</v>
      </c>
      <c r="M248" t="str">
        <f>"00162"</f>
        <v>00162</v>
      </c>
      <c r="N248" t="s">
        <v>242</v>
      </c>
      <c r="O248">
        <v>681.86</v>
      </c>
      <c r="Q248" t="s">
        <v>33</v>
      </c>
      <c r="R248" t="s">
        <v>34</v>
      </c>
      <c r="S248" t="s">
        <v>35</v>
      </c>
      <c r="T248" t="s">
        <v>35</v>
      </c>
      <c r="U248" t="s">
        <v>34</v>
      </c>
      <c r="V248" t="str">
        <f>""</f>
        <v/>
      </c>
      <c r="W248">
        <v>20140909</v>
      </c>
      <c r="X248" t="s">
        <v>243</v>
      </c>
      <c r="Y248" t="s">
        <v>244</v>
      </c>
      <c r="Z248" t="s">
        <v>244</v>
      </c>
      <c r="AA248">
        <v>0</v>
      </c>
      <c r="AB248" t="s">
        <v>142</v>
      </c>
      <c r="AC248" t="s">
        <v>143</v>
      </c>
      <c r="AD248" t="s">
        <v>40</v>
      </c>
      <c r="AE248" t="str">
        <f t="shared" si="57"/>
        <v>09</v>
      </c>
      <c r="AF248" t="s">
        <v>40</v>
      </c>
    </row>
    <row r="249" spans="1:32" x14ac:dyDescent="0.25">
      <c r="A249">
        <v>5</v>
      </c>
      <c r="B249">
        <v>420</v>
      </c>
      <c r="C249" t="str">
        <f>"51"</f>
        <v>51</v>
      </c>
      <c r="D249">
        <v>6259</v>
      </c>
      <c r="E249" t="str">
        <f>"55"</f>
        <v>55</v>
      </c>
      <c r="F249" t="str">
        <f>"999"</f>
        <v>999</v>
      </c>
      <c r="G249">
        <v>5</v>
      </c>
      <c r="H249" t="str">
        <f>"99"</f>
        <v>99</v>
      </c>
      <c r="I249" t="str">
        <f t="shared" si="48"/>
        <v>0</v>
      </c>
      <c r="J249" t="str">
        <f t="shared" si="55"/>
        <v>00</v>
      </c>
      <c r="K249">
        <v>20140911</v>
      </c>
      <c r="L249" t="str">
        <f>"014429"</f>
        <v>014429</v>
      </c>
      <c r="M249" t="str">
        <f>"00306"</f>
        <v>00306</v>
      </c>
      <c r="N249" t="s">
        <v>245</v>
      </c>
      <c r="O249" s="1">
        <v>1530.43</v>
      </c>
      <c r="Q249" t="s">
        <v>33</v>
      </c>
      <c r="R249" t="s">
        <v>34</v>
      </c>
      <c r="S249" t="s">
        <v>35</v>
      </c>
      <c r="T249" t="s">
        <v>35</v>
      </c>
      <c r="U249" t="s">
        <v>34</v>
      </c>
      <c r="V249" t="str">
        <f>""</f>
        <v/>
      </c>
      <c r="W249">
        <v>20140909</v>
      </c>
      <c r="X249" t="s">
        <v>243</v>
      </c>
      <c r="Y249" t="s">
        <v>244</v>
      </c>
      <c r="Z249" t="s">
        <v>244</v>
      </c>
      <c r="AA249">
        <v>0</v>
      </c>
      <c r="AB249" t="s">
        <v>142</v>
      </c>
      <c r="AC249" t="s">
        <v>143</v>
      </c>
      <c r="AD249" t="s">
        <v>40</v>
      </c>
      <c r="AE249" t="str">
        <f t="shared" si="57"/>
        <v>09</v>
      </c>
      <c r="AF249" t="s">
        <v>40</v>
      </c>
    </row>
    <row r="250" spans="1:32" x14ac:dyDescent="0.25">
      <c r="A250">
        <v>5</v>
      </c>
      <c r="B250">
        <v>420</v>
      </c>
      <c r="C250" t="str">
        <f>"51"</f>
        <v>51</v>
      </c>
      <c r="D250">
        <v>6259</v>
      </c>
      <c r="E250" t="str">
        <f>"55"</f>
        <v>55</v>
      </c>
      <c r="F250" t="str">
        <f>"999"</f>
        <v>999</v>
      </c>
      <c r="G250">
        <v>5</v>
      </c>
      <c r="H250" t="str">
        <f>"99"</f>
        <v>99</v>
      </c>
      <c r="I250" t="str">
        <f t="shared" si="48"/>
        <v>0</v>
      </c>
      <c r="J250" t="str">
        <f t="shared" si="55"/>
        <v>00</v>
      </c>
      <c r="K250">
        <v>20140911</v>
      </c>
      <c r="L250" t="str">
        <f>"014429"</f>
        <v>014429</v>
      </c>
      <c r="M250" t="str">
        <f>"00306"</f>
        <v>00306</v>
      </c>
      <c r="N250" t="s">
        <v>245</v>
      </c>
      <c r="O250">
        <v>40.520000000000003</v>
      </c>
      <c r="Q250" t="s">
        <v>33</v>
      </c>
      <c r="R250" t="s">
        <v>34</v>
      </c>
      <c r="S250" t="s">
        <v>35</v>
      </c>
      <c r="T250" t="s">
        <v>35</v>
      </c>
      <c r="U250" t="s">
        <v>34</v>
      </c>
      <c r="V250" t="str">
        <f>""</f>
        <v/>
      </c>
      <c r="W250">
        <v>20140909</v>
      </c>
      <c r="X250" t="s">
        <v>243</v>
      </c>
      <c r="Y250" t="s">
        <v>244</v>
      </c>
      <c r="Z250" t="s">
        <v>244</v>
      </c>
      <c r="AA250">
        <v>0</v>
      </c>
      <c r="AB250" t="s">
        <v>142</v>
      </c>
      <c r="AC250" t="s">
        <v>143</v>
      </c>
      <c r="AD250" t="s">
        <v>40</v>
      </c>
      <c r="AE250" t="str">
        <f t="shared" si="57"/>
        <v>09</v>
      </c>
      <c r="AF250" t="s">
        <v>40</v>
      </c>
    </row>
    <row r="251" spans="1:32" x14ac:dyDescent="0.25">
      <c r="A251">
        <v>5</v>
      </c>
      <c r="B251">
        <v>420</v>
      </c>
      <c r="C251" t="str">
        <f>"51"</f>
        <v>51</v>
      </c>
      <c r="D251">
        <v>6259</v>
      </c>
      <c r="E251" t="str">
        <f>"55"</f>
        <v>55</v>
      </c>
      <c r="F251" t="str">
        <f>"999"</f>
        <v>999</v>
      </c>
      <c r="G251">
        <v>5</v>
      </c>
      <c r="H251" t="str">
        <f>"99"</f>
        <v>99</v>
      </c>
      <c r="I251" t="str">
        <f t="shared" si="48"/>
        <v>0</v>
      </c>
      <c r="J251" t="str">
        <f t="shared" si="55"/>
        <v>00</v>
      </c>
      <c r="K251">
        <v>20140911</v>
      </c>
      <c r="L251" t="str">
        <f>"014429"</f>
        <v>014429</v>
      </c>
      <c r="M251" t="str">
        <f>"00306"</f>
        <v>00306</v>
      </c>
      <c r="N251" t="s">
        <v>245</v>
      </c>
      <c r="O251">
        <v>113.95</v>
      </c>
      <c r="Q251" t="s">
        <v>33</v>
      </c>
      <c r="R251" t="s">
        <v>34</v>
      </c>
      <c r="S251" t="s">
        <v>35</v>
      </c>
      <c r="T251" t="s">
        <v>35</v>
      </c>
      <c r="U251" t="s">
        <v>34</v>
      </c>
      <c r="V251" t="str">
        <f>""</f>
        <v/>
      </c>
      <c r="W251">
        <v>20140909</v>
      </c>
      <c r="X251" t="s">
        <v>243</v>
      </c>
      <c r="Y251" t="s">
        <v>244</v>
      </c>
      <c r="Z251" t="s">
        <v>244</v>
      </c>
      <c r="AA251">
        <v>0</v>
      </c>
      <c r="AB251" t="s">
        <v>142</v>
      </c>
      <c r="AC251" t="s">
        <v>143</v>
      </c>
      <c r="AD251" t="s">
        <v>40</v>
      </c>
      <c r="AE251" t="str">
        <f t="shared" si="57"/>
        <v>09</v>
      </c>
      <c r="AF251" t="s">
        <v>40</v>
      </c>
    </row>
    <row r="252" spans="1:32" x14ac:dyDescent="0.25">
      <c r="A252">
        <v>5</v>
      </c>
      <c r="B252">
        <v>420</v>
      </c>
      <c r="C252" t="str">
        <f>"11"</f>
        <v>11</v>
      </c>
      <c r="D252">
        <v>6399</v>
      </c>
      <c r="E252" t="str">
        <f>"00"</f>
        <v>00</v>
      </c>
      <c r="F252" t="str">
        <f>"101"</f>
        <v>101</v>
      </c>
      <c r="G252">
        <v>5</v>
      </c>
      <c r="H252" t="str">
        <f>"11"</f>
        <v>11</v>
      </c>
      <c r="I252" t="str">
        <f t="shared" si="48"/>
        <v>0</v>
      </c>
      <c r="J252" t="str">
        <f t="shared" si="55"/>
        <v>00</v>
      </c>
      <c r="K252">
        <v>20140911</v>
      </c>
      <c r="L252" t="str">
        <f>"014430"</f>
        <v>014430</v>
      </c>
      <c r="M252" t="str">
        <f>"00701"</f>
        <v>00701</v>
      </c>
      <c r="N252" t="s">
        <v>120</v>
      </c>
      <c r="O252">
        <v>16.89</v>
      </c>
      <c r="Q252" t="s">
        <v>33</v>
      </c>
      <c r="R252" t="s">
        <v>34</v>
      </c>
      <c r="S252" t="s">
        <v>35</v>
      </c>
      <c r="T252" t="s">
        <v>35</v>
      </c>
      <c r="U252" t="s">
        <v>34</v>
      </c>
      <c r="V252" t="str">
        <f>""</f>
        <v/>
      </c>
      <c r="W252">
        <v>20140909</v>
      </c>
      <c r="X252" t="s">
        <v>246</v>
      </c>
      <c r="Y252" t="s">
        <v>247</v>
      </c>
      <c r="Z252" t="s">
        <v>247</v>
      </c>
      <c r="AA252">
        <v>0</v>
      </c>
      <c r="AB252" t="s">
        <v>142</v>
      </c>
      <c r="AC252" t="s">
        <v>41</v>
      </c>
      <c r="AD252" t="s">
        <v>40</v>
      </c>
      <c r="AE252" t="str">
        <f t="shared" si="57"/>
        <v>09</v>
      </c>
      <c r="AF252" t="s">
        <v>40</v>
      </c>
    </row>
    <row r="253" spans="1:32" x14ac:dyDescent="0.25">
      <c r="A253">
        <v>5</v>
      </c>
      <c r="B253">
        <v>420</v>
      </c>
      <c r="C253" t="str">
        <f>"11"</f>
        <v>11</v>
      </c>
      <c r="D253">
        <v>6399</v>
      </c>
      <c r="E253" t="str">
        <f>"00"</f>
        <v>00</v>
      </c>
      <c r="F253" t="str">
        <f>"101"</f>
        <v>101</v>
      </c>
      <c r="G253">
        <v>5</v>
      </c>
      <c r="H253" t="str">
        <f>"11"</f>
        <v>11</v>
      </c>
      <c r="I253" t="str">
        <f t="shared" si="48"/>
        <v>0</v>
      </c>
      <c r="J253" t="str">
        <f t="shared" si="55"/>
        <v>00</v>
      </c>
      <c r="K253">
        <v>20140911</v>
      </c>
      <c r="L253" t="str">
        <f>"014430"</f>
        <v>014430</v>
      </c>
      <c r="M253" t="str">
        <f>"00701"</f>
        <v>00701</v>
      </c>
      <c r="N253" t="s">
        <v>120</v>
      </c>
      <c r="O253">
        <v>26.98</v>
      </c>
      <c r="Q253" t="s">
        <v>33</v>
      </c>
      <c r="R253" t="s">
        <v>34</v>
      </c>
      <c r="S253" t="s">
        <v>35</v>
      </c>
      <c r="T253" t="s">
        <v>35</v>
      </c>
      <c r="U253" t="s">
        <v>34</v>
      </c>
      <c r="V253" t="str">
        <f>""</f>
        <v/>
      </c>
      <c r="W253">
        <v>20140909</v>
      </c>
      <c r="X253" t="s">
        <v>246</v>
      </c>
      <c r="Y253" t="s">
        <v>247</v>
      </c>
      <c r="Z253" t="s">
        <v>247</v>
      </c>
      <c r="AA253">
        <v>0</v>
      </c>
      <c r="AB253" t="s">
        <v>142</v>
      </c>
      <c r="AC253" t="s">
        <v>41</v>
      </c>
      <c r="AD253" t="s">
        <v>40</v>
      </c>
      <c r="AE253" t="str">
        <f t="shared" si="57"/>
        <v>09</v>
      </c>
      <c r="AF253" t="s">
        <v>40</v>
      </c>
    </row>
    <row r="254" spans="1:32" x14ac:dyDescent="0.25">
      <c r="A254">
        <v>5</v>
      </c>
      <c r="B254">
        <v>420</v>
      </c>
      <c r="C254" t="str">
        <f>"11"</f>
        <v>11</v>
      </c>
      <c r="D254">
        <v>6399</v>
      </c>
      <c r="E254" t="str">
        <f>"00"</f>
        <v>00</v>
      </c>
      <c r="F254" t="str">
        <f>"101"</f>
        <v>101</v>
      </c>
      <c r="G254">
        <v>5</v>
      </c>
      <c r="H254" t="str">
        <f>"11"</f>
        <v>11</v>
      </c>
      <c r="I254" t="str">
        <f t="shared" si="48"/>
        <v>0</v>
      </c>
      <c r="J254" t="str">
        <f t="shared" si="55"/>
        <v>00</v>
      </c>
      <c r="K254">
        <v>20140911</v>
      </c>
      <c r="L254" t="str">
        <f>"014430"</f>
        <v>014430</v>
      </c>
      <c r="M254" t="str">
        <f>"00701"</f>
        <v>00701</v>
      </c>
      <c r="N254" t="s">
        <v>120</v>
      </c>
      <c r="O254">
        <v>20.58</v>
      </c>
      <c r="Q254" t="s">
        <v>33</v>
      </c>
      <c r="R254" t="s">
        <v>34</v>
      </c>
      <c r="S254" t="s">
        <v>35</v>
      </c>
      <c r="T254" t="s">
        <v>35</v>
      </c>
      <c r="U254" t="s">
        <v>34</v>
      </c>
      <c r="V254" t="str">
        <f>""</f>
        <v/>
      </c>
      <c r="W254">
        <v>20140909</v>
      </c>
      <c r="X254" t="s">
        <v>246</v>
      </c>
      <c r="Y254" t="s">
        <v>247</v>
      </c>
      <c r="Z254" t="s">
        <v>247</v>
      </c>
      <c r="AA254">
        <v>0</v>
      </c>
      <c r="AB254" t="s">
        <v>142</v>
      </c>
      <c r="AC254" t="s">
        <v>41</v>
      </c>
      <c r="AD254" t="s">
        <v>40</v>
      </c>
      <c r="AE254" t="str">
        <f t="shared" si="57"/>
        <v>09</v>
      </c>
      <c r="AF254" t="s">
        <v>40</v>
      </c>
    </row>
    <row r="255" spans="1:32" x14ac:dyDescent="0.25">
      <c r="A255">
        <v>5</v>
      </c>
      <c r="B255">
        <v>420</v>
      </c>
      <c r="C255" t="str">
        <f>"51"</f>
        <v>51</v>
      </c>
      <c r="D255">
        <v>6259</v>
      </c>
      <c r="E255" t="str">
        <f>"54"</f>
        <v>54</v>
      </c>
      <c r="F255" t="str">
        <f>"999"</f>
        <v>999</v>
      </c>
      <c r="G255">
        <v>5</v>
      </c>
      <c r="H255" t="str">
        <f t="shared" ref="H255:H263" si="59">"99"</f>
        <v>99</v>
      </c>
      <c r="I255" t="str">
        <f t="shared" si="48"/>
        <v>0</v>
      </c>
      <c r="J255" t="str">
        <f t="shared" si="55"/>
        <v>00</v>
      </c>
      <c r="K255">
        <v>20140911</v>
      </c>
      <c r="L255" t="str">
        <f>"014431"</f>
        <v>014431</v>
      </c>
      <c r="M255" t="str">
        <f>"00581"</f>
        <v>00581</v>
      </c>
      <c r="N255" t="s">
        <v>248</v>
      </c>
      <c r="O255">
        <v>484.92</v>
      </c>
      <c r="Q255" t="s">
        <v>33</v>
      </c>
      <c r="R255" t="s">
        <v>34</v>
      </c>
      <c r="S255" t="s">
        <v>35</v>
      </c>
      <c r="T255" t="s">
        <v>35</v>
      </c>
      <c r="U255" t="s">
        <v>34</v>
      </c>
      <c r="V255" t="str">
        <f>""</f>
        <v/>
      </c>
      <c r="W255">
        <v>20140911</v>
      </c>
      <c r="X255" t="s">
        <v>216</v>
      </c>
      <c r="Y255" t="s">
        <v>217</v>
      </c>
      <c r="Z255" t="s">
        <v>217</v>
      </c>
      <c r="AA255">
        <v>0</v>
      </c>
      <c r="AB255" t="s">
        <v>142</v>
      </c>
      <c r="AC255" t="s">
        <v>143</v>
      </c>
      <c r="AD255" t="s">
        <v>40</v>
      </c>
      <c r="AE255" t="str">
        <f t="shared" si="57"/>
        <v>09</v>
      </c>
      <c r="AF255" t="s">
        <v>40</v>
      </c>
    </row>
    <row r="256" spans="1:32" x14ac:dyDescent="0.25">
      <c r="A256">
        <v>5</v>
      </c>
      <c r="B256">
        <v>420</v>
      </c>
      <c r="C256" t="str">
        <f>"51"</f>
        <v>51</v>
      </c>
      <c r="D256">
        <v>6269</v>
      </c>
      <c r="E256" t="str">
        <f t="shared" ref="E256:E261" si="60">"00"</f>
        <v>00</v>
      </c>
      <c r="F256" t="str">
        <f>"999"</f>
        <v>999</v>
      </c>
      <c r="G256">
        <v>5</v>
      </c>
      <c r="H256" t="str">
        <f t="shared" si="59"/>
        <v>99</v>
      </c>
      <c r="I256" t="str">
        <f t="shared" si="48"/>
        <v>0</v>
      </c>
      <c r="J256" t="str">
        <f t="shared" si="55"/>
        <v>00</v>
      </c>
      <c r="K256">
        <v>20140911</v>
      </c>
      <c r="L256" t="str">
        <f>"014432"</f>
        <v>014432</v>
      </c>
      <c r="M256" t="str">
        <f>"00668"</f>
        <v>00668</v>
      </c>
      <c r="N256" t="s">
        <v>249</v>
      </c>
      <c r="O256">
        <v>195.5</v>
      </c>
      <c r="Q256" t="s">
        <v>33</v>
      </c>
      <c r="R256" t="s">
        <v>34</v>
      </c>
      <c r="S256" t="s">
        <v>35</v>
      </c>
      <c r="T256" t="s">
        <v>35</v>
      </c>
      <c r="U256" t="s">
        <v>34</v>
      </c>
      <c r="V256" t="str">
        <f>""</f>
        <v/>
      </c>
      <c r="W256">
        <v>20140911</v>
      </c>
      <c r="X256" t="s">
        <v>225</v>
      </c>
      <c r="Y256" t="s">
        <v>250</v>
      </c>
      <c r="Z256" t="s">
        <v>250</v>
      </c>
      <c r="AA256">
        <v>0</v>
      </c>
      <c r="AB256" t="s">
        <v>142</v>
      </c>
      <c r="AC256" t="s">
        <v>143</v>
      </c>
      <c r="AD256" t="s">
        <v>40</v>
      </c>
      <c r="AE256" t="str">
        <f t="shared" si="57"/>
        <v>09</v>
      </c>
      <c r="AF256" t="s">
        <v>40</v>
      </c>
    </row>
    <row r="257" spans="1:32" x14ac:dyDescent="0.25">
      <c r="A257">
        <v>5</v>
      </c>
      <c r="B257">
        <v>240</v>
      </c>
      <c r="C257" t="str">
        <f>"35"</f>
        <v>35</v>
      </c>
      <c r="D257">
        <v>6299</v>
      </c>
      <c r="E257" t="str">
        <f t="shared" si="60"/>
        <v>00</v>
      </c>
      <c r="F257" t="str">
        <f>"999"</f>
        <v>999</v>
      </c>
      <c r="G257">
        <v>5</v>
      </c>
      <c r="H257" t="str">
        <f t="shared" si="59"/>
        <v>99</v>
      </c>
      <c r="I257" t="str">
        <f t="shared" si="48"/>
        <v>0</v>
      </c>
      <c r="J257" t="str">
        <f t="shared" si="55"/>
        <v>00</v>
      </c>
      <c r="K257">
        <v>20140911</v>
      </c>
      <c r="L257" t="str">
        <f>"014433"</f>
        <v>014433</v>
      </c>
      <c r="M257" t="str">
        <f>"00577"</f>
        <v>00577</v>
      </c>
      <c r="N257" t="s">
        <v>251</v>
      </c>
      <c r="O257">
        <v>63.72</v>
      </c>
      <c r="Q257" t="s">
        <v>33</v>
      </c>
      <c r="R257" t="s">
        <v>34</v>
      </c>
      <c r="S257" t="s">
        <v>35</v>
      </c>
      <c r="T257" t="s">
        <v>35</v>
      </c>
      <c r="U257" t="s">
        <v>34</v>
      </c>
      <c r="V257" t="str">
        <f>""</f>
        <v/>
      </c>
      <c r="W257">
        <v>20140909</v>
      </c>
      <c r="X257" t="s">
        <v>252</v>
      </c>
      <c r="Y257" t="s">
        <v>253</v>
      </c>
      <c r="Z257" t="s">
        <v>253</v>
      </c>
      <c r="AA257">
        <v>0</v>
      </c>
      <c r="AB257" t="s">
        <v>238</v>
      </c>
      <c r="AC257" t="s">
        <v>143</v>
      </c>
      <c r="AD257" t="s">
        <v>40</v>
      </c>
      <c r="AE257" t="str">
        <f t="shared" si="57"/>
        <v>09</v>
      </c>
      <c r="AF257" t="s">
        <v>40</v>
      </c>
    </row>
    <row r="258" spans="1:32" x14ac:dyDescent="0.25">
      <c r="A258">
        <v>5</v>
      </c>
      <c r="B258">
        <v>420</v>
      </c>
      <c r="C258" t="str">
        <f>"51"</f>
        <v>51</v>
      </c>
      <c r="D258">
        <v>6299</v>
      </c>
      <c r="E258" t="str">
        <f t="shared" si="60"/>
        <v>00</v>
      </c>
      <c r="F258" t="str">
        <f>"999"</f>
        <v>999</v>
      </c>
      <c r="G258">
        <v>5</v>
      </c>
      <c r="H258" t="str">
        <f t="shared" si="59"/>
        <v>99</v>
      </c>
      <c r="I258" t="str">
        <f t="shared" ref="I258:I321" si="61">"0"</f>
        <v>0</v>
      </c>
      <c r="J258" t="str">
        <f t="shared" si="55"/>
        <v>00</v>
      </c>
      <c r="K258">
        <v>20140911</v>
      </c>
      <c r="L258" t="str">
        <f>"014433"</f>
        <v>014433</v>
      </c>
      <c r="M258" t="str">
        <f>"00577"</f>
        <v>00577</v>
      </c>
      <c r="N258" t="s">
        <v>251</v>
      </c>
      <c r="O258">
        <v>63.72</v>
      </c>
      <c r="Q258" t="s">
        <v>33</v>
      </c>
      <c r="R258" t="s">
        <v>34</v>
      </c>
      <c r="S258" t="s">
        <v>35</v>
      </c>
      <c r="T258" t="s">
        <v>35</v>
      </c>
      <c r="U258" t="s">
        <v>34</v>
      </c>
      <c r="V258" t="str">
        <f>""</f>
        <v/>
      </c>
      <c r="W258">
        <v>20140909</v>
      </c>
      <c r="X258" t="s">
        <v>203</v>
      </c>
      <c r="Y258" t="s">
        <v>253</v>
      </c>
      <c r="Z258" t="s">
        <v>253</v>
      </c>
      <c r="AA258">
        <v>0</v>
      </c>
      <c r="AB258" t="s">
        <v>142</v>
      </c>
      <c r="AC258" t="s">
        <v>143</v>
      </c>
      <c r="AD258" t="s">
        <v>40</v>
      </c>
      <c r="AE258" t="str">
        <f t="shared" si="57"/>
        <v>09</v>
      </c>
      <c r="AF258" t="s">
        <v>40</v>
      </c>
    </row>
    <row r="259" spans="1:32" x14ac:dyDescent="0.25">
      <c r="A259">
        <v>5</v>
      </c>
      <c r="B259">
        <v>420</v>
      </c>
      <c r="C259" t="str">
        <f>"51"</f>
        <v>51</v>
      </c>
      <c r="D259">
        <v>6299</v>
      </c>
      <c r="E259" t="str">
        <f t="shared" si="60"/>
        <v>00</v>
      </c>
      <c r="F259" t="str">
        <f>"999"</f>
        <v>999</v>
      </c>
      <c r="G259">
        <v>5</v>
      </c>
      <c r="H259" t="str">
        <f t="shared" si="59"/>
        <v>99</v>
      </c>
      <c r="I259" t="str">
        <f t="shared" si="61"/>
        <v>0</v>
      </c>
      <c r="J259" t="str">
        <f t="shared" si="55"/>
        <v>00</v>
      </c>
      <c r="K259">
        <v>20140911</v>
      </c>
      <c r="L259" t="str">
        <f>"014433"</f>
        <v>014433</v>
      </c>
      <c r="M259" t="str">
        <f>"00577"</f>
        <v>00577</v>
      </c>
      <c r="N259" t="s">
        <v>251</v>
      </c>
      <c r="O259">
        <v>63.72</v>
      </c>
      <c r="Q259" t="s">
        <v>33</v>
      </c>
      <c r="R259" t="s">
        <v>34</v>
      </c>
      <c r="S259" t="s">
        <v>35</v>
      </c>
      <c r="T259" t="s">
        <v>35</v>
      </c>
      <c r="U259" t="s">
        <v>34</v>
      </c>
      <c r="V259" t="str">
        <f>""</f>
        <v/>
      </c>
      <c r="W259">
        <v>20140911</v>
      </c>
      <c r="X259" t="s">
        <v>203</v>
      </c>
      <c r="Y259" t="s">
        <v>253</v>
      </c>
      <c r="Z259" t="s">
        <v>253</v>
      </c>
      <c r="AA259">
        <v>0</v>
      </c>
      <c r="AB259" t="s">
        <v>142</v>
      </c>
      <c r="AC259" t="s">
        <v>143</v>
      </c>
      <c r="AD259" t="s">
        <v>40</v>
      </c>
      <c r="AE259" t="str">
        <f t="shared" si="57"/>
        <v>09</v>
      </c>
      <c r="AF259" t="s">
        <v>40</v>
      </c>
    </row>
    <row r="260" spans="1:32" x14ac:dyDescent="0.25">
      <c r="A260">
        <v>5</v>
      </c>
      <c r="B260">
        <v>420</v>
      </c>
      <c r="C260" t="str">
        <f>"41"</f>
        <v>41</v>
      </c>
      <c r="D260">
        <v>6219</v>
      </c>
      <c r="E260" t="str">
        <f t="shared" si="60"/>
        <v>00</v>
      </c>
      <c r="F260" t="str">
        <f>"750"</f>
        <v>750</v>
      </c>
      <c r="G260">
        <v>5</v>
      </c>
      <c r="H260" t="str">
        <f t="shared" si="59"/>
        <v>99</v>
      </c>
      <c r="I260" t="str">
        <f t="shared" si="61"/>
        <v>0</v>
      </c>
      <c r="J260" t="str">
        <f t="shared" si="55"/>
        <v>00</v>
      </c>
      <c r="K260">
        <v>20140911</v>
      </c>
      <c r="L260" t="str">
        <f>"014434"</f>
        <v>014434</v>
      </c>
      <c r="M260" t="str">
        <f>"00377"</f>
        <v>00377</v>
      </c>
      <c r="N260" t="s">
        <v>254</v>
      </c>
      <c r="O260">
        <v>55.4</v>
      </c>
      <c r="Q260" t="s">
        <v>33</v>
      </c>
      <c r="R260" t="s">
        <v>34</v>
      </c>
      <c r="S260" t="s">
        <v>35</v>
      </c>
      <c r="T260" t="s">
        <v>35</v>
      </c>
      <c r="U260" t="s">
        <v>34</v>
      </c>
      <c r="V260" t="str">
        <f>""</f>
        <v/>
      </c>
      <c r="W260">
        <v>20140911</v>
      </c>
      <c r="X260" t="s">
        <v>255</v>
      </c>
      <c r="Y260" t="s">
        <v>256</v>
      </c>
      <c r="Z260" t="s">
        <v>256</v>
      </c>
      <c r="AA260">
        <v>0</v>
      </c>
      <c r="AB260" t="s">
        <v>142</v>
      </c>
      <c r="AC260" t="s">
        <v>170</v>
      </c>
      <c r="AD260" t="s">
        <v>40</v>
      </c>
      <c r="AE260" t="str">
        <f t="shared" si="57"/>
        <v>09</v>
      </c>
      <c r="AF260" t="s">
        <v>40</v>
      </c>
    </row>
    <row r="261" spans="1:32" x14ac:dyDescent="0.25">
      <c r="A261">
        <v>5</v>
      </c>
      <c r="B261">
        <v>420</v>
      </c>
      <c r="C261" t="str">
        <f>"51"</f>
        <v>51</v>
      </c>
      <c r="D261">
        <v>6319</v>
      </c>
      <c r="E261" t="str">
        <f t="shared" si="60"/>
        <v>00</v>
      </c>
      <c r="F261" t="str">
        <f>"999"</f>
        <v>999</v>
      </c>
      <c r="G261">
        <v>5</v>
      </c>
      <c r="H261" t="str">
        <f t="shared" si="59"/>
        <v>99</v>
      </c>
      <c r="I261" t="str">
        <f t="shared" si="61"/>
        <v>0</v>
      </c>
      <c r="J261" t="str">
        <f t="shared" si="55"/>
        <v>00</v>
      </c>
      <c r="K261">
        <v>20140918</v>
      </c>
      <c r="L261" t="str">
        <f>"014435"</f>
        <v>014435</v>
      </c>
      <c r="M261" t="str">
        <f>"00044"</f>
        <v>00044</v>
      </c>
      <c r="N261" t="s">
        <v>257</v>
      </c>
      <c r="O261">
        <v>92.76</v>
      </c>
      <c r="Q261" t="s">
        <v>33</v>
      </c>
      <c r="R261" t="s">
        <v>34</v>
      </c>
      <c r="S261" t="s">
        <v>35</v>
      </c>
      <c r="T261" t="s">
        <v>35</v>
      </c>
      <c r="U261" t="s">
        <v>34</v>
      </c>
      <c r="V261" t="str">
        <f>""</f>
        <v/>
      </c>
      <c r="W261">
        <v>20140916</v>
      </c>
      <c r="X261" t="s">
        <v>185</v>
      </c>
      <c r="Y261" t="s">
        <v>258</v>
      </c>
      <c r="Z261" t="s">
        <v>258</v>
      </c>
      <c r="AA261">
        <v>0</v>
      </c>
      <c r="AB261" t="s">
        <v>142</v>
      </c>
      <c r="AC261" t="s">
        <v>143</v>
      </c>
      <c r="AD261" t="s">
        <v>40</v>
      </c>
      <c r="AE261" t="str">
        <f t="shared" si="57"/>
        <v>09</v>
      </c>
      <c r="AF261" t="s">
        <v>40</v>
      </c>
    </row>
    <row r="262" spans="1:32" x14ac:dyDescent="0.25">
      <c r="A262">
        <v>5</v>
      </c>
      <c r="B262">
        <v>420</v>
      </c>
      <c r="C262" t="str">
        <f>"51"</f>
        <v>51</v>
      </c>
      <c r="D262">
        <v>6259</v>
      </c>
      <c r="E262" t="str">
        <f>"55"</f>
        <v>55</v>
      </c>
      <c r="F262" t="str">
        <f>"999"</f>
        <v>999</v>
      </c>
      <c r="G262">
        <v>5</v>
      </c>
      <c r="H262" t="str">
        <f t="shared" si="59"/>
        <v>99</v>
      </c>
      <c r="I262" t="str">
        <f t="shared" si="61"/>
        <v>0</v>
      </c>
      <c r="J262" t="str">
        <f t="shared" si="55"/>
        <v>00</v>
      </c>
      <c r="K262">
        <v>20140918</v>
      </c>
      <c r="L262" t="str">
        <f>"014436"</f>
        <v>014436</v>
      </c>
      <c r="M262" t="str">
        <f>"00075"</f>
        <v>00075</v>
      </c>
      <c r="N262" t="s">
        <v>259</v>
      </c>
      <c r="O262">
        <v>26.54</v>
      </c>
      <c r="Q262" t="s">
        <v>33</v>
      </c>
      <c r="R262" t="s">
        <v>34</v>
      </c>
      <c r="S262" t="s">
        <v>35</v>
      </c>
      <c r="T262" t="s">
        <v>35</v>
      </c>
      <c r="U262" t="s">
        <v>34</v>
      </c>
      <c r="V262" t="str">
        <f>""</f>
        <v/>
      </c>
      <c r="W262">
        <v>20140916</v>
      </c>
      <c r="X262" t="s">
        <v>243</v>
      </c>
      <c r="Y262" t="s">
        <v>244</v>
      </c>
      <c r="Z262" t="s">
        <v>244</v>
      </c>
      <c r="AA262">
        <v>0</v>
      </c>
      <c r="AB262" t="s">
        <v>142</v>
      </c>
      <c r="AC262" t="s">
        <v>143</v>
      </c>
      <c r="AD262" t="s">
        <v>40</v>
      </c>
      <c r="AE262" t="str">
        <f t="shared" si="57"/>
        <v>09</v>
      </c>
      <c r="AF262" t="s">
        <v>40</v>
      </c>
    </row>
    <row r="263" spans="1:32" x14ac:dyDescent="0.25">
      <c r="A263">
        <v>5</v>
      </c>
      <c r="B263">
        <v>420</v>
      </c>
      <c r="C263" t="str">
        <f>"51"</f>
        <v>51</v>
      </c>
      <c r="D263">
        <v>6259</v>
      </c>
      <c r="E263" t="str">
        <f>"55"</f>
        <v>55</v>
      </c>
      <c r="F263" t="str">
        <f>"999"</f>
        <v>999</v>
      </c>
      <c r="G263">
        <v>5</v>
      </c>
      <c r="H263" t="str">
        <f t="shared" si="59"/>
        <v>99</v>
      </c>
      <c r="I263" t="str">
        <f t="shared" si="61"/>
        <v>0</v>
      </c>
      <c r="J263" t="str">
        <f t="shared" si="55"/>
        <v>00</v>
      </c>
      <c r="K263">
        <v>20140918</v>
      </c>
      <c r="L263" t="str">
        <f>"014436"</f>
        <v>014436</v>
      </c>
      <c r="M263" t="str">
        <f>"00075"</f>
        <v>00075</v>
      </c>
      <c r="N263" t="s">
        <v>259</v>
      </c>
      <c r="O263">
        <v>191.16</v>
      </c>
      <c r="Q263" t="s">
        <v>33</v>
      </c>
      <c r="R263" t="s">
        <v>34</v>
      </c>
      <c r="S263" t="s">
        <v>35</v>
      </c>
      <c r="T263" t="s">
        <v>35</v>
      </c>
      <c r="U263" t="s">
        <v>34</v>
      </c>
      <c r="V263" t="str">
        <f>""</f>
        <v/>
      </c>
      <c r="W263">
        <v>20140916</v>
      </c>
      <c r="X263" t="s">
        <v>243</v>
      </c>
      <c r="Y263" t="s">
        <v>244</v>
      </c>
      <c r="Z263" t="s">
        <v>244</v>
      </c>
      <c r="AA263">
        <v>0</v>
      </c>
      <c r="AB263" t="s">
        <v>142</v>
      </c>
      <c r="AC263" t="s">
        <v>143</v>
      </c>
      <c r="AD263" t="s">
        <v>40</v>
      </c>
      <c r="AE263" t="str">
        <f t="shared" si="57"/>
        <v>09</v>
      </c>
      <c r="AF263" t="s">
        <v>40</v>
      </c>
    </row>
    <row r="264" spans="1:32" x14ac:dyDescent="0.25">
      <c r="A264">
        <v>5</v>
      </c>
      <c r="B264">
        <v>240</v>
      </c>
      <c r="C264" t="str">
        <f>"00"</f>
        <v>00</v>
      </c>
      <c r="D264">
        <v>2110</v>
      </c>
      <c r="E264" t="str">
        <f t="shared" ref="E264:E273" si="62">"00"</f>
        <v>00</v>
      </c>
      <c r="F264" t="str">
        <f>"000"</f>
        <v>000</v>
      </c>
      <c r="G264">
        <v>5</v>
      </c>
      <c r="H264" t="str">
        <f>"00"</f>
        <v>00</v>
      </c>
      <c r="I264" t="str">
        <f t="shared" si="61"/>
        <v>0</v>
      </c>
      <c r="J264" t="str">
        <f t="shared" si="55"/>
        <v>00</v>
      </c>
      <c r="K264">
        <v>20140918</v>
      </c>
      <c r="L264" t="str">
        <f>"014437"</f>
        <v>014437</v>
      </c>
      <c r="M264" t="str">
        <f>"00216"</f>
        <v>00216</v>
      </c>
      <c r="N264" t="s">
        <v>235</v>
      </c>
      <c r="O264">
        <v>868</v>
      </c>
      <c r="Q264" t="s">
        <v>33</v>
      </c>
      <c r="R264" t="s">
        <v>34</v>
      </c>
      <c r="S264" t="s">
        <v>35</v>
      </c>
      <c r="T264" t="s">
        <v>35</v>
      </c>
      <c r="U264" t="s">
        <v>34</v>
      </c>
      <c r="V264" t="str">
        <f>""</f>
        <v/>
      </c>
      <c r="W264">
        <v>20140918</v>
      </c>
      <c r="X264" t="s">
        <v>260</v>
      </c>
      <c r="Y264" t="s">
        <v>261</v>
      </c>
      <c r="Z264" t="s">
        <v>261</v>
      </c>
      <c r="AA264">
        <v>0</v>
      </c>
      <c r="AB264" t="s">
        <v>238</v>
      </c>
      <c r="AC264" t="s">
        <v>39</v>
      </c>
      <c r="AD264" t="s">
        <v>40</v>
      </c>
      <c r="AE264" t="str">
        <f t="shared" si="57"/>
        <v>09</v>
      </c>
      <c r="AF264" t="s">
        <v>40</v>
      </c>
    </row>
    <row r="265" spans="1:32" x14ac:dyDescent="0.25">
      <c r="A265">
        <v>5</v>
      </c>
      <c r="B265">
        <v>420</v>
      </c>
      <c r="C265" t="str">
        <f>"00"</f>
        <v>00</v>
      </c>
      <c r="D265">
        <v>2110</v>
      </c>
      <c r="E265" t="str">
        <f t="shared" si="62"/>
        <v>00</v>
      </c>
      <c r="F265" t="str">
        <f>"000"</f>
        <v>000</v>
      </c>
      <c r="G265">
        <v>5</v>
      </c>
      <c r="H265" t="str">
        <f>"00"</f>
        <v>00</v>
      </c>
      <c r="I265" t="str">
        <f t="shared" si="61"/>
        <v>0</v>
      </c>
      <c r="J265" t="str">
        <f t="shared" si="55"/>
        <v>00</v>
      </c>
      <c r="K265">
        <v>20140918</v>
      </c>
      <c r="L265" t="str">
        <f>"014438"</f>
        <v>014438</v>
      </c>
      <c r="M265" t="str">
        <f>"00311"</f>
        <v>00311</v>
      </c>
      <c r="N265" t="s">
        <v>262</v>
      </c>
      <c r="O265">
        <v>21.25</v>
      </c>
      <c r="Q265" t="s">
        <v>33</v>
      </c>
      <c r="R265" t="s">
        <v>34</v>
      </c>
      <c r="S265" t="s">
        <v>35</v>
      </c>
      <c r="T265" t="s">
        <v>35</v>
      </c>
      <c r="U265" t="s">
        <v>34</v>
      </c>
      <c r="V265" t="str">
        <f>""</f>
        <v/>
      </c>
      <c r="W265">
        <v>20140918</v>
      </c>
      <c r="X265" t="s">
        <v>263</v>
      </c>
      <c r="Y265" t="s">
        <v>264</v>
      </c>
      <c r="Z265" t="s">
        <v>264</v>
      </c>
      <c r="AA265">
        <v>0</v>
      </c>
      <c r="AB265" t="s">
        <v>142</v>
      </c>
      <c r="AC265" t="s">
        <v>39</v>
      </c>
      <c r="AD265" t="s">
        <v>40</v>
      </c>
      <c r="AE265" t="str">
        <f t="shared" si="57"/>
        <v>09</v>
      </c>
      <c r="AF265" t="s">
        <v>40</v>
      </c>
    </row>
    <row r="266" spans="1:32" x14ac:dyDescent="0.25">
      <c r="A266">
        <v>5</v>
      </c>
      <c r="B266">
        <v>240</v>
      </c>
      <c r="C266" t="str">
        <f>"00"</f>
        <v>00</v>
      </c>
      <c r="D266">
        <v>2110</v>
      </c>
      <c r="E266" t="str">
        <f t="shared" si="62"/>
        <v>00</v>
      </c>
      <c r="F266" t="str">
        <f>"000"</f>
        <v>000</v>
      </c>
      <c r="G266">
        <v>5</v>
      </c>
      <c r="H266" t="str">
        <f>"00"</f>
        <v>00</v>
      </c>
      <c r="I266" t="str">
        <f t="shared" si="61"/>
        <v>0</v>
      </c>
      <c r="J266" t="str">
        <f t="shared" si="55"/>
        <v>00</v>
      </c>
      <c r="K266">
        <v>20140918</v>
      </c>
      <c r="L266" t="str">
        <f t="shared" ref="L266:L272" si="63">"014439"</f>
        <v>014439</v>
      </c>
      <c r="M266" t="str">
        <f t="shared" ref="M266:M272" si="64">"00391"</f>
        <v>00391</v>
      </c>
      <c r="N266" t="s">
        <v>265</v>
      </c>
      <c r="O266">
        <v>632.27</v>
      </c>
      <c r="Q266" t="s">
        <v>33</v>
      </c>
      <c r="R266" t="s">
        <v>34</v>
      </c>
      <c r="S266" t="s">
        <v>35</v>
      </c>
      <c r="T266" t="s">
        <v>35</v>
      </c>
      <c r="U266" t="s">
        <v>34</v>
      </c>
      <c r="V266" t="str">
        <f>""</f>
        <v/>
      </c>
      <c r="W266">
        <v>20140918</v>
      </c>
      <c r="X266" t="s">
        <v>260</v>
      </c>
      <c r="Y266" t="s">
        <v>266</v>
      </c>
      <c r="Z266" t="s">
        <v>266</v>
      </c>
      <c r="AA266">
        <v>0</v>
      </c>
      <c r="AB266" t="s">
        <v>238</v>
      </c>
      <c r="AC266" t="s">
        <v>39</v>
      </c>
      <c r="AD266" t="s">
        <v>40</v>
      </c>
      <c r="AE266" t="str">
        <f t="shared" ref="AE266:AE297" si="65">"09"</f>
        <v>09</v>
      </c>
      <c r="AF266" t="s">
        <v>40</v>
      </c>
    </row>
    <row r="267" spans="1:32" x14ac:dyDescent="0.25">
      <c r="A267">
        <v>5</v>
      </c>
      <c r="B267">
        <v>240</v>
      </c>
      <c r="C267" t="str">
        <f t="shared" ref="C267:C272" si="66">"35"</f>
        <v>35</v>
      </c>
      <c r="D267">
        <v>6319</v>
      </c>
      <c r="E267" t="str">
        <f t="shared" si="62"/>
        <v>00</v>
      </c>
      <c r="F267" t="str">
        <f t="shared" ref="F267:F272" si="67">"999"</f>
        <v>999</v>
      </c>
      <c r="G267">
        <v>5</v>
      </c>
      <c r="H267" t="str">
        <f t="shared" ref="H267:H276" si="68">"99"</f>
        <v>99</v>
      </c>
      <c r="I267" t="str">
        <f t="shared" si="61"/>
        <v>0</v>
      </c>
      <c r="J267" t="str">
        <f t="shared" si="55"/>
        <v>00</v>
      </c>
      <c r="K267">
        <v>20140918</v>
      </c>
      <c r="L267" t="str">
        <f t="shared" si="63"/>
        <v>014439</v>
      </c>
      <c r="M267" t="str">
        <f t="shared" si="64"/>
        <v>00391</v>
      </c>
      <c r="N267" t="s">
        <v>265</v>
      </c>
      <c r="O267">
        <v>15.05</v>
      </c>
      <c r="Q267" t="s">
        <v>33</v>
      </c>
      <c r="R267" t="s">
        <v>34</v>
      </c>
      <c r="S267" t="s">
        <v>35</v>
      </c>
      <c r="T267" t="s">
        <v>35</v>
      </c>
      <c r="U267" t="s">
        <v>34</v>
      </c>
      <c r="V267" t="str">
        <f>""</f>
        <v/>
      </c>
      <c r="W267">
        <v>20140916</v>
      </c>
      <c r="X267" t="s">
        <v>267</v>
      </c>
      <c r="Y267" t="s">
        <v>266</v>
      </c>
      <c r="Z267" t="s">
        <v>266</v>
      </c>
      <c r="AA267">
        <v>0</v>
      </c>
      <c r="AB267" t="s">
        <v>238</v>
      </c>
      <c r="AC267" t="s">
        <v>143</v>
      </c>
      <c r="AD267" t="s">
        <v>40</v>
      </c>
      <c r="AE267" t="str">
        <f t="shared" si="65"/>
        <v>09</v>
      </c>
      <c r="AF267" t="s">
        <v>40</v>
      </c>
    </row>
    <row r="268" spans="1:32" x14ac:dyDescent="0.25">
      <c r="A268">
        <v>5</v>
      </c>
      <c r="B268">
        <v>240</v>
      </c>
      <c r="C268" t="str">
        <f t="shared" si="66"/>
        <v>35</v>
      </c>
      <c r="D268">
        <v>6319</v>
      </c>
      <c r="E268" t="str">
        <f t="shared" si="62"/>
        <v>00</v>
      </c>
      <c r="F268" t="str">
        <f t="shared" si="67"/>
        <v>999</v>
      </c>
      <c r="G268">
        <v>5</v>
      </c>
      <c r="H268" t="str">
        <f t="shared" si="68"/>
        <v>99</v>
      </c>
      <c r="I268" t="str">
        <f t="shared" si="61"/>
        <v>0</v>
      </c>
      <c r="J268" t="str">
        <f t="shared" si="55"/>
        <v>00</v>
      </c>
      <c r="K268">
        <v>20140918</v>
      </c>
      <c r="L268" t="str">
        <f t="shared" si="63"/>
        <v>014439</v>
      </c>
      <c r="M268" t="str">
        <f t="shared" si="64"/>
        <v>00391</v>
      </c>
      <c r="N268" t="s">
        <v>265</v>
      </c>
      <c r="O268">
        <v>132.22</v>
      </c>
      <c r="Q268" t="s">
        <v>33</v>
      </c>
      <c r="R268" t="s">
        <v>34</v>
      </c>
      <c r="S268" t="s">
        <v>35</v>
      </c>
      <c r="T268" t="s">
        <v>35</v>
      </c>
      <c r="U268" t="s">
        <v>34</v>
      </c>
      <c r="V268" t="str">
        <f>""</f>
        <v/>
      </c>
      <c r="W268">
        <v>20140916</v>
      </c>
      <c r="X268" t="s">
        <v>267</v>
      </c>
      <c r="Y268" t="s">
        <v>266</v>
      </c>
      <c r="Z268" t="s">
        <v>266</v>
      </c>
      <c r="AA268">
        <v>0</v>
      </c>
      <c r="AB268" t="s">
        <v>238</v>
      </c>
      <c r="AC268" t="s">
        <v>143</v>
      </c>
      <c r="AD268" t="s">
        <v>40</v>
      </c>
      <c r="AE268" t="str">
        <f t="shared" si="65"/>
        <v>09</v>
      </c>
      <c r="AF268" t="s">
        <v>40</v>
      </c>
    </row>
    <row r="269" spans="1:32" x14ac:dyDescent="0.25">
      <c r="A269">
        <v>5</v>
      </c>
      <c r="B269">
        <v>240</v>
      </c>
      <c r="C269" t="str">
        <f t="shared" si="66"/>
        <v>35</v>
      </c>
      <c r="D269">
        <v>6341</v>
      </c>
      <c r="E269" t="str">
        <f t="shared" si="62"/>
        <v>00</v>
      </c>
      <c r="F269" t="str">
        <f t="shared" si="67"/>
        <v>999</v>
      </c>
      <c r="G269">
        <v>5</v>
      </c>
      <c r="H269" t="str">
        <f t="shared" si="68"/>
        <v>99</v>
      </c>
      <c r="I269" t="str">
        <f t="shared" si="61"/>
        <v>0</v>
      </c>
      <c r="J269" t="str">
        <f t="shared" si="55"/>
        <v>00</v>
      </c>
      <c r="K269">
        <v>20140918</v>
      </c>
      <c r="L269" t="str">
        <f t="shared" si="63"/>
        <v>014439</v>
      </c>
      <c r="M269" t="str">
        <f t="shared" si="64"/>
        <v>00391</v>
      </c>
      <c r="N269" t="s">
        <v>265</v>
      </c>
      <c r="O269" s="1">
        <v>3146</v>
      </c>
      <c r="Q269" t="s">
        <v>33</v>
      </c>
      <c r="R269" t="s">
        <v>34</v>
      </c>
      <c r="S269" t="s">
        <v>35</v>
      </c>
      <c r="T269" t="s">
        <v>35</v>
      </c>
      <c r="U269" t="s">
        <v>34</v>
      </c>
      <c r="V269" t="str">
        <f>""</f>
        <v/>
      </c>
      <c r="W269">
        <v>20140916</v>
      </c>
      <c r="X269" t="s">
        <v>268</v>
      </c>
      <c r="Y269" t="s">
        <v>266</v>
      </c>
      <c r="Z269" t="s">
        <v>266</v>
      </c>
      <c r="AA269">
        <v>0</v>
      </c>
      <c r="AB269" t="s">
        <v>238</v>
      </c>
      <c r="AC269" t="s">
        <v>143</v>
      </c>
      <c r="AD269" t="s">
        <v>40</v>
      </c>
      <c r="AE269" t="str">
        <f t="shared" si="65"/>
        <v>09</v>
      </c>
      <c r="AF269" t="s">
        <v>40</v>
      </c>
    </row>
    <row r="270" spans="1:32" x14ac:dyDescent="0.25">
      <c r="A270">
        <v>5</v>
      </c>
      <c r="B270">
        <v>240</v>
      </c>
      <c r="C270" t="str">
        <f t="shared" si="66"/>
        <v>35</v>
      </c>
      <c r="D270">
        <v>6341</v>
      </c>
      <c r="E270" t="str">
        <f t="shared" si="62"/>
        <v>00</v>
      </c>
      <c r="F270" t="str">
        <f t="shared" si="67"/>
        <v>999</v>
      </c>
      <c r="G270">
        <v>5</v>
      </c>
      <c r="H270" t="str">
        <f t="shared" si="68"/>
        <v>99</v>
      </c>
      <c r="I270" t="str">
        <f t="shared" si="61"/>
        <v>0</v>
      </c>
      <c r="J270" t="str">
        <f t="shared" si="55"/>
        <v>00</v>
      </c>
      <c r="K270">
        <v>20140918</v>
      </c>
      <c r="L270" t="str">
        <f t="shared" si="63"/>
        <v>014439</v>
      </c>
      <c r="M270" t="str">
        <f t="shared" si="64"/>
        <v>00391</v>
      </c>
      <c r="N270" t="s">
        <v>265</v>
      </c>
      <c r="O270" s="1">
        <v>3893.15</v>
      </c>
      <c r="Q270" t="s">
        <v>33</v>
      </c>
      <c r="R270" t="s">
        <v>34</v>
      </c>
      <c r="S270" t="s">
        <v>35</v>
      </c>
      <c r="T270" t="s">
        <v>35</v>
      </c>
      <c r="U270" t="s">
        <v>34</v>
      </c>
      <c r="V270" t="str">
        <f>""</f>
        <v/>
      </c>
      <c r="W270">
        <v>20140916</v>
      </c>
      <c r="X270" t="s">
        <v>268</v>
      </c>
      <c r="Y270" t="s">
        <v>266</v>
      </c>
      <c r="Z270" t="s">
        <v>266</v>
      </c>
      <c r="AA270">
        <v>0</v>
      </c>
      <c r="AB270" t="s">
        <v>238</v>
      </c>
      <c r="AC270" t="s">
        <v>143</v>
      </c>
      <c r="AD270" t="s">
        <v>40</v>
      </c>
      <c r="AE270" t="str">
        <f t="shared" si="65"/>
        <v>09</v>
      </c>
      <c r="AF270" t="s">
        <v>40</v>
      </c>
    </row>
    <row r="271" spans="1:32" x14ac:dyDescent="0.25">
      <c r="A271">
        <v>5</v>
      </c>
      <c r="B271">
        <v>240</v>
      </c>
      <c r="C271" t="str">
        <f t="shared" si="66"/>
        <v>35</v>
      </c>
      <c r="D271">
        <v>6342</v>
      </c>
      <c r="E271" t="str">
        <f t="shared" si="62"/>
        <v>00</v>
      </c>
      <c r="F271" t="str">
        <f t="shared" si="67"/>
        <v>999</v>
      </c>
      <c r="G271">
        <v>5</v>
      </c>
      <c r="H271" t="str">
        <f t="shared" si="68"/>
        <v>99</v>
      </c>
      <c r="I271" t="str">
        <f t="shared" si="61"/>
        <v>0</v>
      </c>
      <c r="J271" t="str">
        <f t="shared" si="55"/>
        <v>00</v>
      </c>
      <c r="K271">
        <v>20140918</v>
      </c>
      <c r="L271" t="str">
        <f t="shared" si="63"/>
        <v>014439</v>
      </c>
      <c r="M271" t="str">
        <f t="shared" si="64"/>
        <v>00391</v>
      </c>
      <c r="N271" t="s">
        <v>265</v>
      </c>
      <c r="O271">
        <v>27.57</v>
      </c>
      <c r="Q271" t="s">
        <v>33</v>
      </c>
      <c r="R271" t="s">
        <v>34</v>
      </c>
      <c r="S271" t="s">
        <v>35</v>
      </c>
      <c r="T271" t="s">
        <v>35</v>
      </c>
      <c r="U271" t="s">
        <v>34</v>
      </c>
      <c r="V271" t="str">
        <f>""</f>
        <v/>
      </c>
      <c r="W271">
        <v>20140916</v>
      </c>
      <c r="X271" t="s">
        <v>269</v>
      </c>
      <c r="Y271" t="s">
        <v>266</v>
      </c>
      <c r="Z271" t="s">
        <v>266</v>
      </c>
      <c r="AA271">
        <v>0</v>
      </c>
      <c r="AB271" t="s">
        <v>238</v>
      </c>
      <c r="AC271" t="s">
        <v>143</v>
      </c>
      <c r="AD271" t="s">
        <v>40</v>
      </c>
      <c r="AE271" t="str">
        <f t="shared" si="65"/>
        <v>09</v>
      </c>
      <c r="AF271" t="s">
        <v>40</v>
      </c>
    </row>
    <row r="272" spans="1:32" x14ac:dyDescent="0.25">
      <c r="A272">
        <v>5</v>
      </c>
      <c r="B272">
        <v>240</v>
      </c>
      <c r="C272" t="str">
        <f t="shared" si="66"/>
        <v>35</v>
      </c>
      <c r="D272">
        <v>6342</v>
      </c>
      <c r="E272" t="str">
        <f t="shared" si="62"/>
        <v>00</v>
      </c>
      <c r="F272" t="str">
        <f t="shared" si="67"/>
        <v>999</v>
      </c>
      <c r="G272">
        <v>5</v>
      </c>
      <c r="H272" t="str">
        <f t="shared" si="68"/>
        <v>99</v>
      </c>
      <c r="I272" t="str">
        <f t="shared" si="61"/>
        <v>0</v>
      </c>
      <c r="J272" t="str">
        <f t="shared" si="55"/>
        <v>00</v>
      </c>
      <c r="K272">
        <v>20140918</v>
      </c>
      <c r="L272" t="str">
        <f t="shared" si="63"/>
        <v>014439</v>
      </c>
      <c r="M272" t="str">
        <f t="shared" si="64"/>
        <v>00391</v>
      </c>
      <c r="N272" t="s">
        <v>265</v>
      </c>
      <c r="O272">
        <v>347.46</v>
      </c>
      <c r="Q272" t="s">
        <v>33</v>
      </c>
      <c r="R272" t="s">
        <v>34</v>
      </c>
      <c r="S272" t="s">
        <v>35</v>
      </c>
      <c r="T272" t="s">
        <v>35</v>
      </c>
      <c r="U272" t="s">
        <v>34</v>
      </c>
      <c r="V272" t="str">
        <f>""</f>
        <v/>
      </c>
      <c r="W272">
        <v>20140916</v>
      </c>
      <c r="X272" t="s">
        <v>269</v>
      </c>
      <c r="Y272" t="s">
        <v>266</v>
      </c>
      <c r="Z272" t="s">
        <v>266</v>
      </c>
      <c r="AA272">
        <v>0</v>
      </c>
      <c r="AB272" t="s">
        <v>238</v>
      </c>
      <c r="AC272" t="s">
        <v>143</v>
      </c>
      <c r="AD272" t="s">
        <v>40</v>
      </c>
      <c r="AE272" t="str">
        <f t="shared" si="65"/>
        <v>09</v>
      </c>
      <c r="AF272" t="s">
        <v>40</v>
      </c>
    </row>
    <row r="273" spans="1:32" x14ac:dyDescent="0.25">
      <c r="A273">
        <v>5</v>
      </c>
      <c r="B273">
        <v>420</v>
      </c>
      <c r="C273" t="str">
        <f>"41"</f>
        <v>41</v>
      </c>
      <c r="D273">
        <v>6219</v>
      </c>
      <c r="E273" t="str">
        <f t="shared" si="62"/>
        <v>00</v>
      </c>
      <c r="F273" t="str">
        <f>"750"</f>
        <v>750</v>
      </c>
      <c r="G273">
        <v>5</v>
      </c>
      <c r="H273" t="str">
        <f t="shared" si="68"/>
        <v>99</v>
      </c>
      <c r="I273" t="str">
        <f t="shared" si="61"/>
        <v>0</v>
      </c>
      <c r="J273" t="str">
        <f t="shared" si="55"/>
        <v>00</v>
      </c>
      <c r="K273">
        <v>20140918</v>
      </c>
      <c r="L273" t="str">
        <f>"014440"</f>
        <v>014440</v>
      </c>
      <c r="M273" t="str">
        <f>"00678"</f>
        <v>00678</v>
      </c>
      <c r="N273" t="s">
        <v>270</v>
      </c>
      <c r="O273" s="1">
        <v>1421.42</v>
      </c>
      <c r="Q273" t="s">
        <v>33</v>
      </c>
      <c r="R273" t="s">
        <v>34</v>
      </c>
      <c r="S273" t="s">
        <v>35</v>
      </c>
      <c r="T273" t="s">
        <v>35</v>
      </c>
      <c r="U273" t="s">
        <v>34</v>
      </c>
      <c r="V273" t="str">
        <f>""</f>
        <v/>
      </c>
      <c r="W273">
        <v>20140916</v>
      </c>
      <c r="X273" t="s">
        <v>255</v>
      </c>
      <c r="Y273" t="s">
        <v>271</v>
      </c>
      <c r="Z273" t="s">
        <v>271</v>
      </c>
      <c r="AA273">
        <v>0</v>
      </c>
      <c r="AB273" t="s">
        <v>142</v>
      </c>
      <c r="AC273" t="s">
        <v>170</v>
      </c>
      <c r="AD273" t="s">
        <v>40</v>
      </c>
      <c r="AE273" t="str">
        <f t="shared" si="65"/>
        <v>09</v>
      </c>
      <c r="AF273" t="s">
        <v>40</v>
      </c>
    </row>
    <row r="274" spans="1:32" x14ac:dyDescent="0.25">
      <c r="A274">
        <v>5</v>
      </c>
      <c r="B274">
        <v>420</v>
      </c>
      <c r="C274" t="str">
        <f>"51"</f>
        <v>51</v>
      </c>
      <c r="D274">
        <v>6259</v>
      </c>
      <c r="E274" t="str">
        <f>"54"</f>
        <v>54</v>
      </c>
      <c r="F274" t="str">
        <f>"999"</f>
        <v>999</v>
      </c>
      <c r="G274">
        <v>5</v>
      </c>
      <c r="H274" t="str">
        <f t="shared" si="68"/>
        <v>99</v>
      </c>
      <c r="I274" t="str">
        <f t="shared" si="61"/>
        <v>0</v>
      </c>
      <c r="J274" t="str">
        <f t="shared" si="55"/>
        <v>00</v>
      </c>
      <c r="K274">
        <v>20140918</v>
      </c>
      <c r="L274" t="str">
        <f>"014441"</f>
        <v>014441</v>
      </c>
      <c r="M274" t="str">
        <f>"00591"</f>
        <v>00591</v>
      </c>
      <c r="N274" t="s">
        <v>272</v>
      </c>
      <c r="O274" s="1">
        <v>2190</v>
      </c>
      <c r="Q274" t="s">
        <v>33</v>
      </c>
      <c r="R274" t="s">
        <v>34</v>
      </c>
      <c r="S274" t="s">
        <v>35</v>
      </c>
      <c r="T274" t="s">
        <v>35</v>
      </c>
      <c r="U274" t="s">
        <v>34</v>
      </c>
      <c r="V274" t="str">
        <f>""</f>
        <v/>
      </c>
      <c r="W274">
        <v>20140916</v>
      </c>
      <c r="X274" t="s">
        <v>216</v>
      </c>
      <c r="Y274" t="s">
        <v>273</v>
      </c>
      <c r="Z274" t="s">
        <v>273</v>
      </c>
      <c r="AA274">
        <v>0</v>
      </c>
      <c r="AB274" t="s">
        <v>142</v>
      </c>
      <c r="AC274" t="s">
        <v>143</v>
      </c>
      <c r="AD274" t="s">
        <v>40</v>
      </c>
      <c r="AE274" t="str">
        <f t="shared" si="65"/>
        <v>09</v>
      </c>
      <c r="AF274" t="s">
        <v>40</v>
      </c>
    </row>
    <row r="275" spans="1:32" x14ac:dyDescent="0.25">
      <c r="A275">
        <v>5</v>
      </c>
      <c r="B275">
        <v>240</v>
      </c>
      <c r="C275" t="str">
        <f>"35"</f>
        <v>35</v>
      </c>
      <c r="D275">
        <v>6299</v>
      </c>
      <c r="E275" t="str">
        <f t="shared" ref="E275:E304" si="69">"00"</f>
        <v>00</v>
      </c>
      <c r="F275" t="str">
        <f>"999"</f>
        <v>999</v>
      </c>
      <c r="G275">
        <v>5</v>
      </c>
      <c r="H275" t="str">
        <f t="shared" si="68"/>
        <v>99</v>
      </c>
      <c r="I275" t="str">
        <f t="shared" si="61"/>
        <v>0</v>
      </c>
      <c r="J275" t="str">
        <f t="shared" si="55"/>
        <v>00</v>
      </c>
      <c r="K275">
        <v>20140918</v>
      </c>
      <c r="L275" t="str">
        <f>"014442"</f>
        <v>014442</v>
      </c>
      <c r="M275" t="str">
        <f>"00577"</f>
        <v>00577</v>
      </c>
      <c r="N275" t="s">
        <v>251</v>
      </c>
      <c r="O275">
        <v>31.4</v>
      </c>
      <c r="Q275" t="s">
        <v>33</v>
      </c>
      <c r="R275" t="s">
        <v>34</v>
      </c>
      <c r="S275" t="s">
        <v>35</v>
      </c>
      <c r="T275" t="s">
        <v>35</v>
      </c>
      <c r="U275" t="s">
        <v>34</v>
      </c>
      <c r="V275" t="str">
        <f>""</f>
        <v/>
      </c>
      <c r="W275">
        <v>20140916</v>
      </c>
      <c r="X275" t="s">
        <v>252</v>
      </c>
      <c r="Y275" t="s">
        <v>253</v>
      </c>
      <c r="Z275" t="s">
        <v>253</v>
      </c>
      <c r="AA275">
        <v>0</v>
      </c>
      <c r="AB275" t="s">
        <v>238</v>
      </c>
      <c r="AC275" t="s">
        <v>143</v>
      </c>
      <c r="AD275" t="s">
        <v>40</v>
      </c>
      <c r="AE275" t="str">
        <f t="shared" si="65"/>
        <v>09</v>
      </c>
      <c r="AF275" t="s">
        <v>40</v>
      </c>
    </row>
    <row r="276" spans="1:32" x14ac:dyDescent="0.25">
      <c r="A276">
        <v>5</v>
      </c>
      <c r="B276">
        <v>420</v>
      </c>
      <c r="C276" t="str">
        <f>"51"</f>
        <v>51</v>
      </c>
      <c r="D276">
        <v>6299</v>
      </c>
      <c r="E276" t="str">
        <f t="shared" si="69"/>
        <v>00</v>
      </c>
      <c r="F276" t="str">
        <f>"999"</f>
        <v>999</v>
      </c>
      <c r="G276">
        <v>5</v>
      </c>
      <c r="H276" t="str">
        <f t="shared" si="68"/>
        <v>99</v>
      </c>
      <c r="I276" t="str">
        <f t="shared" si="61"/>
        <v>0</v>
      </c>
      <c r="J276" t="str">
        <f t="shared" si="55"/>
        <v>00</v>
      </c>
      <c r="K276">
        <v>20140918</v>
      </c>
      <c r="L276" t="str">
        <f>"014442"</f>
        <v>014442</v>
      </c>
      <c r="M276" t="str">
        <f>"00577"</f>
        <v>00577</v>
      </c>
      <c r="N276" t="s">
        <v>251</v>
      </c>
      <c r="O276">
        <v>63.72</v>
      </c>
      <c r="Q276" t="s">
        <v>33</v>
      </c>
      <c r="R276" t="s">
        <v>34</v>
      </c>
      <c r="S276" t="s">
        <v>35</v>
      </c>
      <c r="T276" t="s">
        <v>35</v>
      </c>
      <c r="U276" t="s">
        <v>34</v>
      </c>
      <c r="V276" t="str">
        <f>""</f>
        <v/>
      </c>
      <c r="W276">
        <v>20140916</v>
      </c>
      <c r="X276" t="s">
        <v>203</v>
      </c>
      <c r="Y276" t="s">
        <v>253</v>
      </c>
      <c r="Z276" t="s">
        <v>253</v>
      </c>
      <c r="AA276">
        <v>0</v>
      </c>
      <c r="AB276" t="s">
        <v>142</v>
      </c>
      <c r="AC276" t="s">
        <v>143</v>
      </c>
      <c r="AD276" t="s">
        <v>40</v>
      </c>
      <c r="AE276" t="str">
        <f t="shared" si="65"/>
        <v>09</v>
      </c>
      <c r="AF276" t="s">
        <v>40</v>
      </c>
    </row>
    <row r="277" spans="1:32" x14ac:dyDescent="0.25">
      <c r="A277">
        <v>5</v>
      </c>
      <c r="B277">
        <v>420</v>
      </c>
      <c r="C277" t="str">
        <f>"36"</f>
        <v>36</v>
      </c>
      <c r="D277">
        <v>6499</v>
      </c>
      <c r="E277" t="str">
        <f t="shared" si="69"/>
        <v>00</v>
      </c>
      <c r="F277" t="str">
        <f t="shared" ref="F277:F283" si="70">"001"</f>
        <v>001</v>
      </c>
      <c r="G277">
        <v>5</v>
      </c>
      <c r="H277" t="str">
        <f>"91"</f>
        <v>91</v>
      </c>
      <c r="I277" t="str">
        <f t="shared" si="61"/>
        <v>0</v>
      </c>
      <c r="J277" t="str">
        <f t="shared" si="55"/>
        <v>00</v>
      </c>
      <c r="K277">
        <v>20140918</v>
      </c>
      <c r="L277" t="str">
        <f>"014443"</f>
        <v>014443</v>
      </c>
      <c r="M277" t="str">
        <f>"00390"</f>
        <v>00390</v>
      </c>
      <c r="N277" t="s">
        <v>274</v>
      </c>
      <c r="O277">
        <v>792</v>
      </c>
      <c r="Q277" t="s">
        <v>33</v>
      </c>
      <c r="R277" t="s">
        <v>34</v>
      </c>
      <c r="S277" t="s">
        <v>35</v>
      </c>
      <c r="T277" t="s">
        <v>35</v>
      </c>
      <c r="U277" t="s">
        <v>34</v>
      </c>
      <c r="V277" t="str">
        <f>""</f>
        <v/>
      </c>
      <c r="W277">
        <v>20140916</v>
      </c>
      <c r="X277" t="s">
        <v>275</v>
      </c>
      <c r="Y277" t="s">
        <v>276</v>
      </c>
      <c r="Z277" t="s">
        <v>276</v>
      </c>
      <c r="AA277">
        <v>0</v>
      </c>
      <c r="AB277" t="s">
        <v>142</v>
      </c>
      <c r="AC277" t="s">
        <v>41</v>
      </c>
      <c r="AD277" t="s">
        <v>40</v>
      </c>
      <c r="AE277" t="str">
        <f t="shared" si="65"/>
        <v>09</v>
      </c>
      <c r="AF277" t="s">
        <v>40</v>
      </c>
    </row>
    <row r="278" spans="1:32" x14ac:dyDescent="0.25">
      <c r="A278">
        <v>5</v>
      </c>
      <c r="B278">
        <v>420</v>
      </c>
      <c r="C278" t="str">
        <f>"36"</f>
        <v>36</v>
      </c>
      <c r="D278">
        <v>6499</v>
      </c>
      <c r="E278" t="str">
        <f t="shared" si="69"/>
        <v>00</v>
      </c>
      <c r="F278" t="str">
        <f t="shared" si="70"/>
        <v>001</v>
      </c>
      <c r="G278">
        <v>5</v>
      </c>
      <c r="H278" t="str">
        <f>"99"</f>
        <v>99</v>
      </c>
      <c r="I278" t="str">
        <f t="shared" si="61"/>
        <v>0</v>
      </c>
      <c r="J278" t="str">
        <f t="shared" si="55"/>
        <v>00</v>
      </c>
      <c r="K278">
        <v>20140918</v>
      </c>
      <c r="L278" t="str">
        <f>"014443"</f>
        <v>014443</v>
      </c>
      <c r="M278" t="str">
        <f>"00390"</f>
        <v>00390</v>
      </c>
      <c r="N278" t="s">
        <v>274</v>
      </c>
      <c r="O278">
        <v>408</v>
      </c>
      <c r="Q278" t="s">
        <v>33</v>
      </c>
      <c r="R278" t="s">
        <v>34</v>
      </c>
      <c r="S278" t="s">
        <v>35</v>
      </c>
      <c r="T278" t="s">
        <v>35</v>
      </c>
      <c r="U278" t="s">
        <v>34</v>
      </c>
      <c r="V278" t="str">
        <f>""</f>
        <v/>
      </c>
      <c r="W278">
        <v>20140916</v>
      </c>
      <c r="X278" t="s">
        <v>277</v>
      </c>
      <c r="Y278" t="s">
        <v>276</v>
      </c>
      <c r="Z278" t="s">
        <v>276</v>
      </c>
      <c r="AA278">
        <v>0</v>
      </c>
      <c r="AB278" t="s">
        <v>142</v>
      </c>
      <c r="AC278" t="s">
        <v>41</v>
      </c>
      <c r="AD278" t="s">
        <v>40</v>
      </c>
      <c r="AE278" t="str">
        <f t="shared" si="65"/>
        <v>09</v>
      </c>
      <c r="AF278" t="s">
        <v>40</v>
      </c>
    </row>
    <row r="279" spans="1:32" x14ac:dyDescent="0.25">
      <c r="A279">
        <v>5</v>
      </c>
      <c r="B279">
        <v>420</v>
      </c>
      <c r="C279" t="str">
        <f>"11"</f>
        <v>11</v>
      </c>
      <c r="D279">
        <v>6219</v>
      </c>
      <c r="E279" t="str">
        <f t="shared" si="69"/>
        <v>00</v>
      </c>
      <c r="F279" t="str">
        <f t="shared" si="70"/>
        <v>001</v>
      </c>
      <c r="G279">
        <v>5</v>
      </c>
      <c r="H279" t="str">
        <f>"11"</f>
        <v>11</v>
      </c>
      <c r="I279" t="str">
        <f t="shared" si="61"/>
        <v>0</v>
      </c>
      <c r="J279" t="str">
        <f t="shared" si="55"/>
        <v>00</v>
      </c>
      <c r="K279">
        <v>20140918</v>
      </c>
      <c r="L279" t="str">
        <f>"014444"</f>
        <v>014444</v>
      </c>
      <c r="M279" t="str">
        <f>"00548"</f>
        <v>00548</v>
      </c>
      <c r="N279" t="s">
        <v>167</v>
      </c>
      <c r="O279">
        <v>195</v>
      </c>
      <c r="Q279" t="s">
        <v>33</v>
      </c>
      <c r="R279" t="s">
        <v>34</v>
      </c>
      <c r="S279" t="s">
        <v>35</v>
      </c>
      <c r="T279" t="s">
        <v>35</v>
      </c>
      <c r="U279" t="s">
        <v>34</v>
      </c>
      <c r="V279" t="str">
        <f>""</f>
        <v/>
      </c>
      <c r="W279">
        <v>20140916</v>
      </c>
      <c r="X279" t="s">
        <v>165</v>
      </c>
      <c r="Y279" t="s">
        <v>278</v>
      </c>
      <c r="Z279" t="s">
        <v>278</v>
      </c>
      <c r="AA279">
        <v>0</v>
      </c>
      <c r="AB279" t="s">
        <v>142</v>
      </c>
      <c r="AC279" t="s">
        <v>41</v>
      </c>
      <c r="AD279" t="s">
        <v>40</v>
      </c>
      <c r="AE279" t="str">
        <f t="shared" si="65"/>
        <v>09</v>
      </c>
      <c r="AF279" t="s">
        <v>40</v>
      </c>
    </row>
    <row r="280" spans="1:32" x14ac:dyDescent="0.25">
      <c r="A280">
        <v>5</v>
      </c>
      <c r="B280">
        <v>420</v>
      </c>
      <c r="C280" t="str">
        <f>"11"</f>
        <v>11</v>
      </c>
      <c r="D280">
        <v>6219</v>
      </c>
      <c r="E280" t="str">
        <f t="shared" si="69"/>
        <v>00</v>
      </c>
      <c r="F280" t="str">
        <f t="shared" si="70"/>
        <v>001</v>
      </c>
      <c r="G280">
        <v>5</v>
      </c>
      <c r="H280" t="str">
        <f>"11"</f>
        <v>11</v>
      </c>
      <c r="I280" t="str">
        <f t="shared" si="61"/>
        <v>0</v>
      </c>
      <c r="J280" t="str">
        <f t="shared" si="55"/>
        <v>00</v>
      </c>
      <c r="K280">
        <v>20140918</v>
      </c>
      <c r="L280" t="str">
        <f>"014444"</f>
        <v>014444</v>
      </c>
      <c r="M280" t="str">
        <f>"00548"</f>
        <v>00548</v>
      </c>
      <c r="N280" t="s">
        <v>167</v>
      </c>
      <c r="O280">
        <v>195</v>
      </c>
      <c r="Q280" t="s">
        <v>33</v>
      </c>
      <c r="R280" t="s">
        <v>34</v>
      </c>
      <c r="S280" t="s">
        <v>35</v>
      </c>
      <c r="T280" t="s">
        <v>35</v>
      </c>
      <c r="U280" t="s">
        <v>34</v>
      </c>
      <c r="V280" t="str">
        <f>""</f>
        <v/>
      </c>
      <c r="W280">
        <v>20140916</v>
      </c>
      <c r="X280" t="s">
        <v>165</v>
      </c>
      <c r="Y280" t="s">
        <v>278</v>
      </c>
      <c r="Z280" t="s">
        <v>278</v>
      </c>
      <c r="AA280">
        <v>0</v>
      </c>
      <c r="AB280" t="s">
        <v>142</v>
      </c>
      <c r="AC280" t="s">
        <v>41</v>
      </c>
      <c r="AD280" t="s">
        <v>40</v>
      </c>
      <c r="AE280" t="str">
        <f t="shared" si="65"/>
        <v>09</v>
      </c>
      <c r="AF280" t="s">
        <v>40</v>
      </c>
    </row>
    <row r="281" spans="1:32" x14ac:dyDescent="0.25">
      <c r="A281">
        <v>5</v>
      </c>
      <c r="B281">
        <v>420</v>
      </c>
      <c r="C281" t="str">
        <f>"11"</f>
        <v>11</v>
      </c>
      <c r="D281">
        <v>6219</v>
      </c>
      <c r="E281" t="str">
        <f t="shared" si="69"/>
        <v>00</v>
      </c>
      <c r="F281" t="str">
        <f t="shared" si="70"/>
        <v>001</v>
      </c>
      <c r="G281">
        <v>5</v>
      </c>
      <c r="H281" t="str">
        <f>"11"</f>
        <v>11</v>
      </c>
      <c r="I281" t="str">
        <f t="shared" si="61"/>
        <v>0</v>
      </c>
      <c r="J281" t="str">
        <f t="shared" ref="J281:J344" si="71">"00"</f>
        <v>00</v>
      </c>
      <c r="K281">
        <v>20140918</v>
      </c>
      <c r="L281" t="str">
        <f>"014444"</f>
        <v>014444</v>
      </c>
      <c r="M281" t="str">
        <f>"00548"</f>
        <v>00548</v>
      </c>
      <c r="N281" t="s">
        <v>167</v>
      </c>
      <c r="O281">
        <v>195</v>
      </c>
      <c r="Q281" t="s">
        <v>33</v>
      </c>
      <c r="R281" t="s">
        <v>34</v>
      </c>
      <c r="S281" t="s">
        <v>35</v>
      </c>
      <c r="T281" t="s">
        <v>35</v>
      </c>
      <c r="U281" t="s">
        <v>34</v>
      </c>
      <c r="V281" t="str">
        <f>""</f>
        <v/>
      </c>
      <c r="W281">
        <v>20140916</v>
      </c>
      <c r="X281" t="s">
        <v>165</v>
      </c>
      <c r="Y281" t="s">
        <v>278</v>
      </c>
      <c r="Z281" t="s">
        <v>278</v>
      </c>
      <c r="AA281">
        <v>0</v>
      </c>
      <c r="AB281" t="s">
        <v>142</v>
      </c>
      <c r="AC281" t="s">
        <v>41</v>
      </c>
      <c r="AD281" t="s">
        <v>40</v>
      </c>
      <c r="AE281" t="str">
        <f t="shared" si="65"/>
        <v>09</v>
      </c>
      <c r="AF281" t="s">
        <v>40</v>
      </c>
    </row>
    <row r="282" spans="1:32" x14ac:dyDescent="0.25">
      <c r="A282">
        <v>5</v>
      </c>
      <c r="B282">
        <v>420</v>
      </c>
      <c r="C282" t="str">
        <f>"11"</f>
        <v>11</v>
      </c>
      <c r="D282">
        <v>6219</v>
      </c>
      <c r="E282" t="str">
        <f t="shared" si="69"/>
        <v>00</v>
      </c>
      <c r="F282" t="str">
        <f t="shared" si="70"/>
        <v>001</v>
      </c>
      <c r="G282">
        <v>5</v>
      </c>
      <c r="H282" t="str">
        <f>"11"</f>
        <v>11</v>
      </c>
      <c r="I282" t="str">
        <f t="shared" si="61"/>
        <v>0</v>
      </c>
      <c r="J282" t="str">
        <f t="shared" si="71"/>
        <v>00</v>
      </c>
      <c r="K282">
        <v>20140918</v>
      </c>
      <c r="L282" t="str">
        <f>"014444"</f>
        <v>014444</v>
      </c>
      <c r="M282" t="str">
        <f>"00548"</f>
        <v>00548</v>
      </c>
      <c r="N282" t="s">
        <v>167</v>
      </c>
      <c r="O282">
        <v>195</v>
      </c>
      <c r="Q282" t="s">
        <v>33</v>
      </c>
      <c r="R282" t="s">
        <v>34</v>
      </c>
      <c r="S282" t="s">
        <v>35</v>
      </c>
      <c r="T282" t="s">
        <v>35</v>
      </c>
      <c r="U282" t="s">
        <v>34</v>
      </c>
      <c r="V282" t="str">
        <f>""</f>
        <v/>
      </c>
      <c r="W282">
        <v>20140916</v>
      </c>
      <c r="X282" t="s">
        <v>165</v>
      </c>
      <c r="Y282" t="s">
        <v>278</v>
      </c>
      <c r="Z282" t="s">
        <v>278</v>
      </c>
      <c r="AA282">
        <v>0</v>
      </c>
      <c r="AB282" t="s">
        <v>142</v>
      </c>
      <c r="AC282" t="s">
        <v>41</v>
      </c>
      <c r="AD282" t="s">
        <v>40</v>
      </c>
      <c r="AE282" t="str">
        <f t="shared" si="65"/>
        <v>09</v>
      </c>
      <c r="AF282" t="s">
        <v>40</v>
      </c>
    </row>
    <row r="283" spans="1:32" x14ac:dyDescent="0.25">
      <c r="A283">
        <v>5</v>
      </c>
      <c r="B283">
        <v>420</v>
      </c>
      <c r="C283" t="str">
        <f>"11"</f>
        <v>11</v>
      </c>
      <c r="D283">
        <v>6219</v>
      </c>
      <c r="E283" t="str">
        <f t="shared" si="69"/>
        <v>00</v>
      </c>
      <c r="F283" t="str">
        <f t="shared" si="70"/>
        <v>001</v>
      </c>
      <c r="G283">
        <v>5</v>
      </c>
      <c r="H283" t="str">
        <f>"11"</f>
        <v>11</v>
      </c>
      <c r="I283" t="str">
        <f t="shared" si="61"/>
        <v>0</v>
      </c>
      <c r="J283" t="str">
        <f t="shared" si="71"/>
        <v>00</v>
      </c>
      <c r="K283">
        <v>20140918</v>
      </c>
      <c r="L283" t="str">
        <f>"014444"</f>
        <v>014444</v>
      </c>
      <c r="M283" t="str">
        <f>"00548"</f>
        <v>00548</v>
      </c>
      <c r="N283" t="s">
        <v>167</v>
      </c>
      <c r="O283">
        <v>195</v>
      </c>
      <c r="Q283" t="s">
        <v>33</v>
      </c>
      <c r="R283" t="s">
        <v>34</v>
      </c>
      <c r="S283" t="s">
        <v>35</v>
      </c>
      <c r="T283" t="s">
        <v>35</v>
      </c>
      <c r="U283" t="s">
        <v>34</v>
      </c>
      <c r="V283" t="str">
        <f>""</f>
        <v/>
      </c>
      <c r="W283">
        <v>20140916</v>
      </c>
      <c r="X283" t="s">
        <v>165</v>
      </c>
      <c r="Y283" t="s">
        <v>278</v>
      </c>
      <c r="Z283" t="s">
        <v>278</v>
      </c>
      <c r="AA283">
        <v>0</v>
      </c>
      <c r="AB283" t="s">
        <v>142</v>
      </c>
      <c r="AC283" t="s">
        <v>41</v>
      </c>
      <c r="AD283" t="s">
        <v>40</v>
      </c>
      <c r="AE283" t="str">
        <f t="shared" si="65"/>
        <v>09</v>
      </c>
      <c r="AF283" t="s">
        <v>40</v>
      </c>
    </row>
    <row r="284" spans="1:32" x14ac:dyDescent="0.25">
      <c r="A284">
        <v>5</v>
      </c>
      <c r="B284">
        <v>420</v>
      </c>
      <c r="C284" t="str">
        <f t="shared" ref="C284:C290" si="72">"00"</f>
        <v>00</v>
      </c>
      <c r="D284">
        <v>2153</v>
      </c>
      <c r="E284" t="str">
        <f t="shared" si="69"/>
        <v>00</v>
      </c>
      <c r="F284" t="str">
        <f>"008"</f>
        <v>008</v>
      </c>
      <c r="G284">
        <v>5</v>
      </c>
      <c r="H284" t="str">
        <f t="shared" ref="H284:H290" si="73">"00"</f>
        <v>00</v>
      </c>
      <c r="I284" t="str">
        <f t="shared" si="61"/>
        <v>0</v>
      </c>
      <c r="J284" t="str">
        <f t="shared" si="71"/>
        <v>00</v>
      </c>
      <c r="K284">
        <v>20140922</v>
      </c>
      <c r="L284" t="str">
        <f>"014445"</f>
        <v>014445</v>
      </c>
      <c r="M284" t="str">
        <f>"00012"</f>
        <v>00012</v>
      </c>
      <c r="N284" t="s">
        <v>279</v>
      </c>
      <c r="O284">
        <v>241.72</v>
      </c>
      <c r="Q284" t="s">
        <v>33</v>
      </c>
      <c r="R284" t="s">
        <v>34</v>
      </c>
      <c r="S284" t="s">
        <v>35</v>
      </c>
      <c r="T284" t="s">
        <v>35</v>
      </c>
      <c r="U284" t="s">
        <v>34</v>
      </c>
      <c r="V284" t="str">
        <f>""</f>
        <v/>
      </c>
      <c r="W284">
        <v>20140922</v>
      </c>
      <c r="X284" t="s">
        <v>280</v>
      </c>
      <c r="Y284" t="s">
        <v>281</v>
      </c>
      <c r="Z284" t="s">
        <v>281</v>
      </c>
      <c r="AA284">
        <v>0</v>
      </c>
      <c r="AB284" t="s">
        <v>142</v>
      </c>
      <c r="AC284" t="s">
        <v>282</v>
      </c>
      <c r="AD284" t="s">
        <v>144</v>
      </c>
      <c r="AE284" t="str">
        <f t="shared" si="65"/>
        <v>09</v>
      </c>
      <c r="AF284" t="s">
        <v>40</v>
      </c>
    </row>
    <row r="285" spans="1:32" x14ac:dyDescent="0.25">
      <c r="A285">
        <v>5</v>
      </c>
      <c r="B285">
        <v>420</v>
      </c>
      <c r="C285" t="str">
        <f t="shared" si="72"/>
        <v>00</v>
      </c>
      <c r="D285">
        <v>2159</v>
      </c>
      <c r="E285" t="str">
        <f t="shared" si="69"/>
        <v>00</v>
      </c>
      <c r="F285" t="str">
        <f>"009"</f>
        <v>009</v>
      </c>
      <c r="G285">
        <v>5</v>
      </c>
      <c r="H285" t="str">
        <f t="shared" si="73"/>
        <v>00</v>
      </c>
      <c r="I285" t="str">
        <f t="shared" si="61"/>
        <v>0</v>
      </c>
      <c r="J285" t="str">
        <f t="shared" si="71"/>
        <v>00</v>
      </c>
      <c r="K285">
        <v>20140922</v>
      </c>
      <c r="L285" t="str">
        <f>"014445"</f>
        <v>014445</v>
      </c>
      <c r="M285" t="str">
        <f>"00012"</f>
        <v>00012</v>
      </c>
      <c r="N285" t="s">
        <v>279</v>
      </c>
      <c r="O285">
        <v>324.41000000000003</v>
      </c>
      <c r="Q285" t="s">
        <v>33</v>
      </c>
      <c r="R285" t="s">
        <v>34</v>
      </c>
      <c r="S285" t="s">
        <v>35</v>
      </c>
      <c r="T285" t="s">
        <v>35</v>
      </c>
      <c r="U285" t="s">
        <v>34</v>
      </c>
      <c r="V285" t="str">
        <f>""</f>
        <v/>
      </c>
      <c r="W285">
        <v>20140922</v>
      </c>
      <c r="X285" t="s">
        <v>283</v>
      </c>
      <c r="Y285" t="s">
        <v>284</v>
      </c>
      <c r="Z285" t="s">
        <v>284</v>
      </c>
      <c r="AA285">
        <v>0</v>
      </c>
      <c r="AB285" t="s">
        <v>142</v>
      </c>
      <c r="AC285" t="s">
        <v>285</v>
      </c>
      <c r="AD285" t="s">
        <v>144</v>
      </c>
      <c r="AE285" t="str">
        <f t="shared" si="65"/>
        <v>09</v>
      </c>
      <c r="AF285" t="s">
        <v>40</v>
      </c>
    </row>
    <row r="286" spans="1:32" x14ac:dyDescent="0.25">
      <c r="A286">
        <v>5</v>
      </c>
      <c r="B286">
        <v>420</v>
      </c>
      <c r="C286" t="str">
        <f t="shared" si="72"/>
        <v>00</v>
      </c>
      <c r="D286">
        <v>2153</v>
      </c>
      <c r="E286" t="str">
        <f t="shared" si="69"/>
        <v>00</v>
      </c>
      <c r="F286" t="str">
        <f>"005"</f>
        <v>005</v>
      </c>
      <c r="G286">
        <v>5</v>
      </c>
      <c r="H286" t="str">
        <f t="shared" si="73"/>
        <v>00</v>
      </c>
      <c r="I286" t="str">
        <f t="shared" si="61"/>
        <v>0</v>
      </c>
      <c r="J286" t="str">
        <f t="shared" si="71"/>
        <v>00</v>
      </c>
      <c r="K286">
        <v>20140922</v>
      </c>
      <c r="L286" t="str">
        <f>"014446"</f>
        <v>014446</v>
      </c>
      <c r="M286" t="str">
        <f>"00226"</f>
        <v>00226</v>
      </c>
      <c r="N286" t="s">
        <v>286</v>
      </c>
      <c r="O286" s="1">
        <v>1301.8699999999999</v>
      </c>
      <c r="Q286" t="s">
        <v>33</v>
      </c>
      <c r="R286" t="s">
        <v>34</v>
      </c>
      <c r="S286" t="s">
        <v>35</v>
      </c>
      <c r="T286" t="s">
        <v>35</v>
      </c>
      <c r="U286" t="s">
        <v>34</v>
      </c>
      <c r="V286" t="str">
        <f>""</f>
        <v/>
      </c>
      <c r="W286">
        <v>20140922</v>
      </c>
      <c r="X286" t="s">
        <v>287</v>
      </c>
      <c r="Y286" t="s">
        <v>281</v>
      </c>
      <c r="Z286" t="s">
        <v>281</v>
      </c>
      <c r="AA286">
        <v>0</v>
      </c>
      <c r="AB286" t="s">
        <v>142</v>
      </c>
      <c r="AC286" t="s">
        <v>288</v>
      </c>
      <c r="AD286" t="s">
        <v>144</v>
      </c>
      <c r="AE286" t="str">
        <f t="shared" si="65"/>
        <v>09</v>
      </c>
      <c r="AF286" t="s">
        <v>40</v>
      </c>
    </row>
    <row r="287" spans="1:32" x14ac:dyDescent="0.25">
      <c r="A287">
        <v>5</v>
      </c>
      <c r="B287">
        <v>420</v>
      </c>
      <c r="C287" t="str">
        <f t="shared" si="72"/>
        <v>00</v>
      </c>
      <c r="D287">
        <v>2153</v>
      </c>
      <c r="E287" t="str">
        <f t="shared" si="69"/>
        <v>00</v>
      </c>
      <c r="F287" t="str">
        <f>"006"</f>
        <v>006</v>
      </c>
      <c r="G287">
        <v>5</v>
      </c>
      <c r="H287" t="str">
        <f t="shared" si="73"/>
        <v>00</v>
      </c>
      <c r="I287" t="str">
        <f t="shared" si="61"/>
        <v>0</v>
      </c>
      <c r="J287" t="str">
        <f t="shared" si="71"/>
        <v>00</v>
      </c>
      <c r="K287">
        <v>20140922</v>
      </c>
      <c r="L287" t="str">
        <f>"014446"</f>
        <v>014446</v>
      </c>
      <c r="M287" t="str">
        <f>"00226"</f>
        <v>00226</v>
      </c>
      <c r="N287" t="s">
        <v>286</v>
      </c>
      <c r="O287">
        <v>264.68</v>
      </c>
      <c r="Q287" t="s">
        <v>33</v>
      </c>
      <c r="R287" t="s">
        <v>34</v>
      </c>
      <c r="S287" t="s">
        <v>35</v>
      </c>
      <c r="T287" t="s">
        <v>35</v>
      </c>
      <c r="U287" t="s">
        <v>34</v>
      </c>
      <c r="V287" t="str">
        <f>""</f>
        <v/>
      </c>
      <c r="W287">
        <v>20140922</v>
      </c>
      <c r="X287" t="s">
        <v>289</v>
      </c>
      <c r="Y287" t="s">
        <v>281</v>
      </c>
      <c r="Z287" t="s">
        <v>281</v>
      </c>
      <c r="AA287">
        <v>0</v>
      </c>
      <c r="AB287" t="s">
        <v>142</v>
      </c>
      <c r="AC287" t="s">
        <v>290</v>
      </c>
      <c r="AD287" t="s">
        <v>144</v>
      </c>
      <c r="AE287" t="str">
        <f t="shared" si="65"/>
        <v>09</v>
      </c>
      <c r="AF287" t="s">
        <v>40</v>
      </c>
    </row>
    <row r="288" spans="1:32" x14ac:dyDescent="0.25">
      <c r="A288">
        <v>5</v>
      </c>
      <c r="B288">
        <v>420</v>
      </c>
      <c r="C288" t="str">
        <f t="shared" si="72"/>
        <v>00</v>
      </c>
      <c r="D288">
        <v>2159</v>
      </c>
      <c r="E288" t="str">
        <f t="shared" si="69"/>
        <v>00</v>
      </c>
      <c r="F288" t="str">
        <f>"021"</f>
        <v>021</v>
      </c>
      <c r="G288">
        <v>5</v>
      </c>
      <c r="H288" t="str">
        <f t="shared" si="73"/>
        <v>00</v>
      </c>
      <c r="I288" t="str">
        <f t="shared" si="61"/>
        <v>0</v>
      </c>
      <c r="J288" t="str">
        <f t="shared" si="71"/>
        <v>00</v>
      </c>
      <c r="K288">
        <v>20140922</v>
      </c>
      <c r="L288" t="str">
        <f>"014447"</f>
        <v>014447</v>
      </c>
      <c r="M288" t="str">
        <f>"00291"</f>
        <v>00291</v>
      </c>
      <c r="N288" t="s">
        <v>291</v>
      </c>
      <c r="O288" s="1">
        <v>1250</v>
      </c>
      <c r="Q288" t="s">
        <v>33</v>
      </c>
      <c r="R288" t="s">
        <v>34</v>
      </c>
      <c r="S288" t="s">
        <v>35</v>
      </c>
      <c r="T288" t="s">
        <v>35</v>
      </c>
      <c r="U288" t="s">
        <v>34</v>
      </c>
      <c r="V288" t="str">
        <f>""</f>
        <v/>
      </c>
      <c r="W288">
        <v>20140922</v>
      </c>
      <c r="X288" t="s">
        <v>292</v>
      </c>
      <c r="Y288" t="s">
        <v>293</v>
      </c>
      <c r="Z288" t="s">
        <v>293</v>
      </c>
      <c r="AA288">
        <v>0</v>
      </c>
      <c r="AB288" t="s">
        <v>142</v>
      </c>
      <c r="AC288" t="s">
        <v>294</v>
      </c>
      <c r="AD288" t="s">
        <v>144</v>
      </c>
      <c r="AE288" t="str">
        <f t="shared" si="65"/>
        <v>09</v>
      </c>
      <c r="AF288" t="s">
        <v>40</v>
      </c>
    </row>
    <row r="289" spans="1:32" x14ac:dyDescent="0.25">
      <c r="A289">
        <v>5</v>
      </c>
      <c r="B289">
        <v>420</v>
      </c>
      <c r="C289" t="str">
        <f t="shared" si="72"/>
        <v>00</v>
      </c>
      <c r="D289">
        <v>2159</v>
      </c>
      <c r="E289" t="str">
        <f t="shared" si="69"/>
        <v>00</v>
      </c>
      <c r="F289" t="str">
        <f>"150"</f>
        <v>150</v>
      </c>
      <c r="G289">
        <v>5</v>
      </c>
      <c r="H289" t="str">
        <f t="shared" si="73"/>
        <v>00</v>
      </c>
      <c r="I289" t="str">
        <f t="shared" si="61"/>
        <v>0</v>
      </c>
      <c r="J289" t="str">
        <f t="shared" si="71"/>
        <v>00</v>
      </c>
      <c r="K289">
        <v>20140922</v>
      </c>
      <c r="L289" t="str">
        <f>"014448"</f>
        <v>014448</v>
      </c>
      <c r="M289" t="str">
        <f>"00355"</f>
        <v>00355</v>
      </c>
      <c r="N289" t="s">
        <v>295</v>
      </c>
      <c r="O289">
        <v>417.16</v>
      </c>
      <c r="Q289" t="s">
        <v>33</v>
      </c>
      <c r="R289" t="s">
        <v>34</v>
      </c>
      <c r="S289" t="s">
        <v>35</v>
      </c>
      <c r="T289" t="s">
        <v>35</v>
      </c>
      <c r="U289" t="s">
        <v>34</v>
      </c>
      <c r="V289" t="str">
        <f>""</f>
        <v/>
      </c>
      <c r="W289">
        <v>20140922</v>
      </c>
      <c r="X289" t="s">
        <v>296</v>
      </c>
      <c r="Y289" t="s">
        <v>293</v>
      </c>
      <c r="Z289" t="s">
        <v>293</v>
      </c>
      <c r="AA289">
        <v>0</v>
      </c>
      <c r="AB289" t="s">
        <v>142</v>
      </c>
      <c r="AC289" t="s">
        <v>297</v>
      </c>
      <c r="AD289" t="s">
        <v>144</v>
      </c>
      <c r="AE289" t="str">
        <f t="shared" si="65"/>
        <v>09</v>
      </c>
      <c r="AF289" t="s">
        <v>40</v>
      </c>
    </row>
    <row r="290" spans="1:32" x14ac:dyDescent="0.25">
      <c r="A290">
        <v>5</v>
      </c>
      <c r="B290">
        <v>420</v>
      </c>
      <c r="C290" t="str">
        <f t="shared" si="72"/>
        <v>00</v>
      </c>
      <c r="D290">
        <v>2159</v>
      </c>
      <c r="E290" t="str">
        <f t="shared" si="69"/>
        <v>00</v>
      </c>
      <c r="F290" t="str">
        <f>"158"</f>
        <v>158</v>
      </c>
      <c r="G290">
        <v>5</v>
      </c>
      <c r="H290" t="str">
        <f t="shared" si="73"/>
        <v>00</v>
      </c>
      <c r="I290" t="str">
        <f t="shared" si="61"/>
        <v>0</v>
      </c>
      <c r="J290" t="str">
        <f t="shared" si="71"/>
        <v>00</v>
      </c>
      <c r="K290">
        <v>20140922</v>
      </c>
      <c r="L290" t="str">
        <f>"014449"</f>
        <v>014449</v>
      </c>
      <c r="M290" t="str">
        <f>"00773"</f>
        <v>00773</v>
      </c>
      <c r="N290" t="s">
        <v>298</v>
      </c>
      <c r="O290">
        <v>25</v>
      </c>
      <c r="Q290" t="s">
        <v>33</v>
      </c>
      <c r="R290" t="s">
        <v>34</v>
      </c>
      <c r="S290" t="s">
        <v>35</v>
      </c>
      <c r="T290" t="s">
        <v>35</v>
      </c>
      <c r="U290" t="s">
        <v>34</v>
      </c>
      <c r="V290" t="str">
        <f>""</f>
        <v/>
      </c>
      <c r="W290">
        <v>20140922</v>
      </c>
      <c r="X290" t="s">
        <v>299</v>
      </c>
      <c r="Y290" t="s">
        <v>293</v>
      </c>
      <c r="Z290" t="s">
        <v>293</v>
      </c>
      <c r="AA290">
        <v>0</v>
      </c>
      <c r="AB290" t="s">
        <v>142</v>
      </c>
      <c r="AC290" t="s">
        <v>298</v>
      </c>
      <c r="AD290" t="s">
        <v>144</v>
      </c>
      <c r="AE290" t="str">
        <f t="shared" si="65"/>
        <v>09</v>
      </c>
      <c r="AF290" t="s">
        <v>40</v>
      </c>
    </row>
    <row r="291" spans="1:32" x14ac:dyDescent="0.25">
      <c r="A291">
        <v>5</v>
      </c>
      <c r="B291">
        <v>420</v>
      </c>
      <c r="C291" t="str">
        <f>"34"</f>
        <v>34</v>
      </c>
      <c r="D291">
        <v>6311</v>
      </c>
      <c r="E291" t="str">
        <f t="shared" si="69"/>
        <v>00</v>
      </c>
      <c r="F291" t="str">
        <f>"999"</f>
        <v>999</v>
      </c>
      <c r="G291">
        <v>5</v>
      </c>
      <c r="H291" t="str">
        <f>"99"</f>
        <v>99</v>
      </c>
      <c r="I291" t="str">
        <f t="shared" si="61"/>
        <v>0</v>
      </c>
      <c r="J291" t="str">
        <f t="shared" si="71"/>
        <v>00</v>
      </c>
      <c r="K291">
        <v>20140923</v>
      </c>
      <c r="L291" t="str">
        <f>"014450"</f>
        <v>014450</v>
      </c>
      <c r="M291" t="str">
        <f>"00532"</f>
        <v>00532</v>
      </c>
      <c r="N291" t="s">
        <v>300</v>
      </c>
      <c r="O291">
        <v>188</v>
      </c>
      <c r="Q291" t="s">
        <v>33</v>
      </c>
      <c r="R291" t="s">
        <v>34</v>
      </c>
      <c r="S291" t="s">
        <v>35</v>
      </c>
      <c r="T291" t="s">
        <v>35</v>
      </c>
      <c r="U291" t="s">
        <v>34</v>
      </c>
      <c r="V291" t="str">
        <f>""</f>
        <v/>
      </c>
      <c r="W291">
        <v>20140923</v>
      </c>
      <c r="X291" t="s">
        <v>301</v>
      </c>
      <c r="Y291" t="s">
        <v>302</v>
      </c>
      <c r="Z291" t="s">
        <v>302</v>
      </c>
      <c r="AA291">
        <v>0</v>
      </c>
      <c r="AB291" t="s">
        <v>142</v>
      </c>
      <c r="AC291" t="s">
        <v>143</v>
      </c>
      <c r="AD291" t="s">
        <v>40</v>
      </c>
      <c r="AE291" t="str">
        <f t="shared" si="65"/>
        <v>09</v>
      </c>
      <c r="AF291" t="s">
        <v>40</v>
      </c>
    </row>
    <row r="292" spans="1:32" x14ac:dyDescent="0.25">
      <c r="A292">
        <v>5</v>
      </c>
      <c r="B292">
        <v>211</v>
      </c>
      <c r="C292" t="str">
        <f>"11"</f>
        <v>11</v>
      </c>
      <c r="D292">
        <v>6219</v>
      </c>
      <c r="E292" t="str">
        <f t="shared" si="69"/>
        <v>00</v>
      </c>
      <c r="F292" t="str">
        <f>"001"</f>
        <v>001</v>
      </c>
      <c r="G292">
        <v>5</v>
      </c>
      <c r="H292" t="str">
        <f>"30"</f>
        <v>30</v>
      </c>
      <c r="I292" t="str">
        <f t="shared" si="61"/>
        <v>0</v>
      </c>
      <c r="J292" t="str">
        <f t="shared" si="71"/>
        <v>00</v>
      </c>
      <c r="K292">
        <v>20140926</v>
      </c>
      <c r="L292" t="str">
        <f t="shared" ref="L292:L297" si="74">"014451"</f>
        <v>014451</v>
      </c>
      <c r="M292" t="str">
        <f t="shared" ref="M292:M297" si="75">"00015"</f>
        <v>00015</v>
      </c>
      <c r="N292" t="s">
        <v>44</v>
      </c>
      <c r="O292">
        <v>15</v>
      </c>
      <c r="Q292" t="s">
        <v>33</v>
      </c>
      <c r="R292" t="s">
        <v>34</v>
      </c>
      <c r="S292" t="s">
        <v>35</v>
      </c>
      <c r="T292" t="s">
        <v>35</v>
      </c>
      <c r="U292" t="s">
        <v>34</v>
      </c>
      <c r="V292" t="str">
        <f>""</f>
        <v/>
      </c>
      <c r="W292">
        <v>20140923</v>
      </c>
      <c r="X292" t="s">
        <v>173</v>
      </c>
      <c r="Y292" t="s">
        <v>303</v>
      </c>
      <c r="Z292" t="s">
        <v>303</v>
      </c>
      <c r="AA292">
        <v>0</v>
      </c>
      <c r="AB292" t="s">
        <v>174</v>
      </c>
      <c r="AC292" t="s">
        <v>41</v>
      </c>
      <c r="AD292" t="s">
        <v>40</v>
      </c>
      <c r="AE292" t="str">
        <f t="shared" si="65"/>
        <v>09</v>
      </c>
      <c r="AF292" t="s">
        <v>40</v>
      </c>
    </row>
    <row r="293" spans="1:32" x14ac:dyDescent="0.25">
      <c r="A293">
        <v>5</v>
      </c>
      <c r="B293">
        <v>211</v>
      </c>
      <c r="C293" t="str">
        <f>"11"</f>
        <v>11</v>
      </c>
      <c r="D293">
        <v>6219</v>
      </c>
      <c r="E293" t="str">
        <f t="shared" si="69"/>
        <v>00</v>
      </c>
      <c r="F293" t="str">
        <f>"001"</f>
        <v>001</v>
      </c>
      <c r="G293">
        <v>5</v>
      </c>
      <c r="H293" t="str">
        <f>"30"</f>
        <v>30</v>
      </c>
      <c r="I293" t="str">
        <f t="shared" si="61"/>
        <v>0</v>
      </c>
      <c r="J293" t="str">
        <f t="shared" si="71"/>
        <v>00</v>
      </c>
      <c r="K293">
        <v>20140926</v>
      </c>
      <c r="L293" t="str">
        <f t="shared" si="74"/>
        <v>014451</v>
      </c>
      <c r="M293" t="str">
        <f t="shared" si="75"/>
        <v>00015</v>
      </c>
      <c r="N293" t="s">
        <v>44</v>
      </c>
      <c r="O293">
        <v>160.19999999999999</v>
      </c>
      <c r="Q293" t="s">
        <v>33</v>
      </c>
      <c r="R293" t="s">
        <v>34</v>
      </c>
      <c r="S293" t="s">
        <v>35</v>
      </c>
      <c r="T293" t="s">
        <v>35</v>
      </c>
      <c r="U293" t="s">
        <v>34</v>
      </c>
      <c r="V293" t="str">
        <f>""</f>
        <v/>
      </c>
      <c r="W293">
        <v>20140923</v>
      </c>
      <c r="X293" t="s">
        <v>173</v>
      </c>
      <c r="Y293" t="s">
        <v>303</v>
      </c>
      <c r="Z293" t="s">
        <v>303</v>
      </c>
      <c r="AA293">
        <v>0</v>
      </c>
      <c r="AB293" t="s">
        <v>174</v>
      </c>
      <c r="AC293" t="s">
        <v>41</v>
      </c>
      <c r="AD293" t="s">
        <v>40</v>
      </c>
      <c r="AE293" t="str">
        <f t="shared" si="65"/>
        <v>09</v>
      </c>
      <c r="AF293" t="s">
        <v>40</v>
      </c>
    </row>
    <row r="294" spans="1:32" x14ac:dyDescent="0.25">
      <c r="A294">
        <v>5</v>
      </c>
      <c r="B294">
        <v>211</v>
      </c>
      <c r="C294" t="str">
        <f>"11"</f>
        <v>11</v>
      </c>
      <c r="D294">
        <v>6219</v>
      </c>
      <c r="E294" t="str">
        <f t="shared" si="69"/>
        <v>00</v>
      </c>
      <c r="F294" t="str">
        <f>"101"</f>
        <v>101</v>
      </c>
      <c r="G294">
        <v>5</v>
      </c>
      <c r="H294" t="str">
        <f>"30"</f>
        <v>30</v>
      </c>
      <c r="I294" t="str">
        <f t="shared" si="61"/>
        <v>0</v>
      </c>
      <c r="J294" t="str">
        <f t="shared" si="71"/>
        <v>00</v>
      </c>
      <c r="K294">
        <v>20140926</v>
      </c>
      <c r="L294" t="str">
        <f t="shared" si="74"/>
        <v>014451</v>
      </c>
      <c r="M294" t="str">
        <f t="shared" si="75"/>
        <v>00015</v>
      </c>
      <c r="N294" t="s">
        <v>44</v>
      </c>
      <c r="O294">
        <v>275</v>
      </c>
      <c r="Q294" t="s">
        <v>33</v>
      </c>
      <c r="R294" t="s">
        <v>34</v>
      </c>
      <c r="S294" t="s">
        <v>35</v>
      </c>
      <c r="T294" t="s">
        <v>35</v>
      </c>
      <c r="U294" t="s">
        <v>34</v>
      </c>
      <c r="V294" t="str">
        <f>""</f>
        <v/>
      </c>
      <c r="W294">
        <v>20140923</v>
      </c>
      <c r="X294" t="s">
        <v>181</v>
      </c>
      <c r="Y294" t="s">
        <v>304</v>
      </c>
      <c r="Z294" t="s">
        <v>304</v>
      </c>
      <c r="AA294">
        <v>0</v>
      </c>
      <c r="AB294" t="s">
        <v>174</v>
      </c>
      <c r="AC294" t="s">
        <v>41</v>
      </c>
      <c r="AD294" t="s">
        <v>40</v>
      </c>
      <c r="AE294" t="str">
        <f t="shared" si="65"/>
        <v>09</v>
      </c>
      <c r="AF294" t="s">
        <v>40</v>
      </c>
    </row>
    <row r="295" spans="1:32" x14ac:dyDescent="0.25">
      <c r="A295">
        <v>5</v>
      </c>
      <c r="B295">
        <v>420</v>
      </c>
      <c r="C295" t="str">
        <f>"34"</f>
        <v>34</v>
      </c>
      <c r="D295">
        <v>6311</v>
      </c>
      <c r="E295" t="str">
        <f t="shared" si="69"/>
        <v>00</v>
      </c>
      <c r="F295" t="str">
        <f t="shared" ref="F295:F300" si="76">"999"</f>
        <v>999</v>
      </c>
      <c r="G295">
        <v>5</v>
      </c>
      <c r="H295" t="str">
        <f t="shared" ref="H295:H303" si="77">"99"</f>
        <v>99</v>
      </c>
      <c r="I295" t="str">
        <f t="shared" si="61"/>
        <v>0</v>
      </c>
      <c r="J295" t="str">
        <f t="shared" si="71"/>
        <v>00</v>
      </c>
      <c r="K295">
        <v>20140926</v>
      </c>
      <c r="L295" t="str">
        <f t="shared" si="74"/>
        <v>014451</v>
      </c>
      <c r="M295" t="str">
        <f t="shared" si="75"/>
        <v>00015</v>
      </c>
      <c r="N295" t="s">
        <v>44</v>
      </c>
      <c r="O295">
        <v>260.01</v>
      </c>
      <c r="Q295" t="s">
        <v>33</v>
      </c>
      <c r="R295" t="s">
        <v>34</v>
      </c>
      <c r="S295" t="s">
        <v>35</v>
      </c>
      <c r="T295" t="s">
        <v>35</v>
      </c>
      <c r="U295" t="s">
        <v>34</v>
      </c>
      <c r="V295" t="str">
        <f>""</f>
        <v/>
      </c>
      <c r="W295">
        <v>20140923</v>
      </c>
      <c r="X295" t="s">
        <v>301</v>
      </c>
      <c r="Y295" t="s">
        <v>305</v>
      </c>
      <c r="Z295" t="s">
        <v>305</v>
      </c>
      <c r="AA295">
        <v>0</v>
      </c>
      <c r="AB295" t="s">
        <v>142</v>
      </c>
      <c r="AC295" t="s">
        <v>143</v>
      </c>
      <c r="AD295" t="s">
        <v>40</v>
      </c>
      <c r="AE295" t="str">
        <f t="shared" si="65"/>
        <v>09</v>
      </c>
      <c r="AF295" t="s">
        <v>40</v>
      </c>
    </row>
    <row r="296" spans="1:32" x14ac:dyDescent="0.25">
      <c r="A296">
        <v>5</v>
      </c>
      <c r="B296">
        <v>420</v>
      </c>
      <c r="C296" t="str">
        <f>"34"</f>
        <v>34</v>
      </c>
      <c r="D296">
        <v>6311</v>
      </c>
      <c r="E296" t="str">
        <f t="shared" si="69"/>
        <v>00</v>
      </c>
      <c r="F296" t="str">
        <f t="shared" si="76"/>
        <v>999</v>
      </c>
      <c r="G296">
        <v>5</v>
      </c>
      <c r="H296" t="str">
        <f t="shared" si="77"/>
        <v>99</v>
      </c>
      <c r="I296" t="str">
        <f t="shared" si="61"/>
        <v>0</v>
      </c>
      <c r="J296" t="str">
        <f t="shared" si="71"/>
        <v>00</v>
      </c>
      <c r="K296">
        <v>20140926</v>
      </c>
      <c r="L296" t="str">
        <f t="shared" si="74"/>
        <v>014451</v>
      </c>
      <c r="M296" t="str">
        <f t="shared" si="75"/>
        <v>00015</v>
      </c>
      <c r="N296" t="s">
        <v>44</v>
      </c>
      <c r="O296">
        <v>257</v>
      </c>
      <c r="Q296" t="s">
        <v>33</v>
      </c>
      <c r="R296" t="s">
        <v>34</v>
      </c>
      <c r="S296" t="s">
        <v>35</v>
      </c>
      <c r="T296" t="s">
        <v>35</v>
      </c>
      <c r="U296" t="s">
        <v>34</v>
      </c>
      <c r="V296" t="str">
        <f>""</f>
        <v/>
      </c>
      <c r="W296">
        <v>20140923</v>
      </c>
      <c r="X296" t="s">
        <v>301</v>
      </c>
      <c r="Y296" t="s">
        <v>305</v>
      </c>
      <c r="Z296" t="s">
        <v>305</v>
      </c>
      <c r="AA296">
        <v>0</v>
      </c>
      <c r="AB296" t="s">
        <v>142</v>
      </c>
      <c r="AC296" t="s">
        <v>143</v>
      </c>
      <c r="AD296" t="s">
        <v>40</v>
      </c>
      <c r="AE296" t="str">
        <f t="shared" si="65"/>
        <v>09</v>
      </c>
      <c r="AF296" t="s">
        <v>40</v>
      </c>
    </row>
    <row r="297" spans="1:32" x14ac:dyDescent="0.25">
      <c r="A297">
        <v>5</v>
      </c>
      <c r="B297">
        <v>420</v>
      </c>
      <c r="C297" t="str">
        <f>"51"</f>
        <v>51</v>
      </c>
      <c r="D297">
        <v>6269</v>
      </c>
      <c r="E297" t="str">
        <f t="shared" si="69"/>
        <v>00</v>
      </c>
      <c r="F297" t="str">
        <f t="shared" si="76"/>
        <v>999</v>
      </c>
      <c r="G297">
        <v>5</v>
      </c>
      <c r="H297" t="str">
        <f t="shared" si="77"/>
        <v>99</v>
      </c>
      <c r="I297" t="str">
        <f t="shared" si="61"/>
        <v>0</v>
      </c>
      <c r="J297" t="str">
        <f t="shared" si="71"/>
        <v>00</v>
      </c>
      <c r="K297">
        <v>20140926</v>
      </c>
      <c r="L297" t="str">
        <f t="shared" si="74"/>
        <v>014451</v>
      </c>
      <c r="M297" t="str">
        <f t="shared" si="75"/>
        <v>00015</v>
      </c>
      <c r="N297" t="s">
        <v>44</v>
      </c>
      <c r="O297">
        <v>99</v>
      </c>
      <c r="Q297" t="s">
        <v>33</v>
      </c>
      <c r="R297" t="s">
        <v>34</v>
      </c>
      <c r="S297" t="s">
        <v>35</v>
      </c>
      <c r="T297" t="s">
        <v>35</v>
      </c>
      <c r="U297" t="s">
        <v>34</v>
      </c>
      <c r="V297" t="str">
        <f>""</f>
        <v/>
      </c>
      <c r="W297">
        <v>20140923</v>
      </c>
      <c r="X297" t="s">
        <v>225</v>
      </c>
      <c r="Y297" t="s">
        <v>306</v>
      </c>
      <c r="Z297" t="s">
        <v>306</v>
      </c>
      <c r="AA297">
        <v>0</v>
      </c>
      <c r="AB297" t="s">
        <v>142</v>
      </c>
      <c r="AC297" t="s">
        <v>143</v>
      </c>
      <c r="AD297" t="s">
        <v>40</v>
      </c>
      <c r="AE297" t="str">
        <f t="shared" si="65"/>
        <v>09</v>
      </c>
      <c r="AF297" t="s">
        <v>40</v>
      </c>
    </row>
    <row r="298" spans="1:32" x14ac:dyDescent="0.25">
      <c r="A298">
        <v>5</v>
      </c>
      <c r="B298">
        <v>420</v>
      </c>
      <c r="C298" t="str">
        <f>"51"</f>
        <v>51</v>
      </c>
      <c r="D298">
        <v>6269</v>
      </c>
      <c r="E298" t="str">
        <f t="shared" si="69"/>
        <v>00</v>
      </c>
      <c r="F298" t="str">
        <f t="shared" si="76"/>
        <v>999</v>
      </c>
      <c r="G298">
        <v>5</v>
      </c>
      <c r="H298" t="str">
        <f t="shared" si="77"/>
        <v>99</v>
      </c>
      <c r="I298" t="str">
        <f t="shared" si="61"/>
        <v>0</v>
      </c>
      <c r="J298" t="str">
        <f t="shared" si="71"/>
        <v>00</v>
      </c>
      <c r="K298">
        <v>20140926</v>
      </c>
      <c r="L298" t="str">
        <f>"014452"</f>
        <v>014452</v>
      </c>
      <c r="M298" t="str">
        <f>"00035"</f>
        <v>00035</v>
      </c>
      <c r="N298" t="s">
        <v>307</v>
      </c>
      <c r="O298">
        <v>353.67</v>
      </c>
      <c r="Q298" t="s">
        <v>33</v>
      </c>
      <c r="R298" t="s">
        <v>34</v>
      </c>
      <c r="S298" t="s">
        <v>35</v>
      </c>
      <c r="T298" t="s">
        <v>35</v>
      </c>
      <c r="U298" t="s">
        <v>34</v>
      </c>
      <c r="V298" t="str">
        <f>""</f>
        <v/>
      </c>
      <c r="W298">
        <v>20140926</v>
      </c>
      <c r="X298" t="s">
        <v>225</v>
      </c>
      <c r="Y298" t="s">
        <v>308</v>
      </c>
      <c r="Z298" t="s">
        <v>308</v>
      </c>
      <c r="AA298">
        <v>0</v>
      </c>
      <c r="AB298" t="s">
        <v>142</v>
      </c>
      <c r="AC298" t="s">
        <v>143</v>
      </c>
      <c r="AD298" t="s">
        <v>40</v>
      </c>
      <c r="AE298" t="str">
        <f t="shared" ref="AE298:AE320" si="78">"09"</f>
        <v>09</v>
      </c>
      <c r="AF298" t="s">
        <v>40</v>
      </c>
    </row>
    <row r="299" spans="1:32" x14ac:dyDescent="0.25">
      <c r="A299">
        <v>5</v>
      </c>
      <c r="B299">
        <v>240</v>
      </c>
      <c r="C299" t="str">
        <f>"35"</f>
        <v>35</v>
      </c>
      <c r="D299">
        <v>6341</v>
      </c>
      <c r="E299" t="str">
        <f t="shared" si="69"/>
        <v>00</v>
      </c>
      <c r="F299" t="str">
        <f t="shared" si="76"/>
        <v>999</v>
      </c>
      <c r="G299">
        <v>5</v>
      </c>
      <c r="H299" t="str">
        <f t="shared" si="77"/>
        <v>99</v>
      </c>
      <c r="I299" t="str">
        <f t="shared" si="61"/>
        <v>0</v>
      </c>
      <c r="J299" t="str">
        <f t="shared" si="71"/>
        <v>00</v>
      </c>
      <c r="K299">
        <v>20140926</v>
      </c>
      <c r="L299" t="str">
        <f>"014453"</f>
        <v>014453</v>
      </c>
      <c r="M299" t="str">
        <f>"00048"</f>
        <v>00048</v>
      </c>
      <c r="N299" t="s">
        <v>309</v>
      </c>
      <c r="O299">
        <v>22.44</v>
      </c>
      <c r="Q299" t="s">
        <v>33</v>
      </c>
      <c r="R299" t="s">
        <v>34</v>
      </c>
      <c r="S299" t="s">
        <v>35</v>
      </c>
      <c r="T299" t="s">
        <v>35</v>
      </c>
      <c r="U299" t="s">
        <v>34</v>
      </c>
      <c r="V299" t="str">
        <f>""</f>
        <v/>
      </c>
      <c r="W299">
        <v>20140923</v>
      </c>
      <c r="X299" t="s">
        <v>268</v>
      </c>
      <c r="Y299" t="s">
        <v>310</v>
      </c>
      <c r="Z299" t="s">
        <v>310</v>
      </c>
      <c r="AA299">
        <v>0</v>
      </c>
      <c r="AB299" t="s">
        <v>238</v>
      </c>
      <c r="AC299" t="s">
        <v>143</v>
      </c>
      <c r="AD299" t="s">
        <v>40</v>
      </c>
      <c r="AE299" t="str">
        <f t="shared" si="78"/>
        <v>09</v>
      </c>
      <c r="AF299" t="s">
        <v>40</v>
      </c>
    </row>
    <row r="300" spans="1:32" x14ac:dyDescent="0.25">
      <c r="A300">
        <v>5</v>
      </c>
      <c r="B300">
        <v>240</v>
      </c>
      <c r="C300" t="str">
        <f>"35"</f>
        <v>35</v>
      </c>
      <c r="D300">
        <v>6341</v>
      </c>
      <c r="E300" t="str">
        <f t="shared" si="69"/>
        <v>00</v>
      </c>
      <c r="F300" t="str">
        <f t="shared" si="76"/>
        <v>999</v>
      </c>
      <c r="G300">
        <v>5</v>
      </c>
      <c r="H300" t="str">
        <f t="shared" si="77"/>
        <v>99</v>
      </c>
      <c r="I300" t="str">
        <f t="shared" si="61"/>
        <v>0</v>
      </c>
      <c r="J300" t="str">
        <f t="shared" si="71"/>
        <v>00</v>
      </c>
      <c r="K300">
        <v>20140926</v>
      </c>
      <c r="L300" t="str">
        <f>"014453"</f>
        <v>014453</v>
      </c>
      <c r="M300" t="str">
        <f>"00048"</f>
        <v>00048</v>
      </c>
      <c r="N300" t="s">
        <v>309</v>
      </c>
      <c r="O300">
        <v>42.36</v>
      </c>
      <c r="Q300" t="s">
        <v>33</v>
      </c>
      <c r="R300" t="s">
        <v>34</v>
      </c>
      <c r="S300" t="s">
        <v>35</v>
      </c>
      <c r="T300" t="s">
        <v>35</v>
      </c>
      <c r="U300" t="s">
        <v>34</v>
      </c>
      <c r="V300" t="str">
        <f>""</f>
        <v/>
      </c>
      <c r="W300">
        <v>20140926</v>
      </c>
      <c r="X300" t="s">
        <v>268</v>
      </c>
      <c r="Y300" t="s">
        <v>310</v>
      </c>
      <c r="Z300" t="s">
        <v>310</v>
      </c>
      <c r="AA300">
        <v>0</v>
      </c>
      <c r="AB300" t="s">
        <v>238</v>
      </c>
      <c r="AC300" t="s">
        <v>143</v>
      </c>
      <c r="AD300" t="s">
        <v>40</v>
      </c>
      <c r="AE300" t="str">
        <f t="shared" si="78"/>
        <v>09</v>
      </c>
      <c r="AF300" t="s">
        <v>40</v>
      </c>
    </row>
    <row r="301" spans="1:32" x14ac:dyDescent="0.25">
      <c r="A301">
        <v>5</v>
      </c>
      <c r="B301">
        <v>420</v>
      </c>
      <c r="C301" t="str">
        <f>"41"</f>
        <v>41</v>
      </c>
      <c r="D301">
        <v>6219</v>
      </c>
      <c r="E301" t="str">
        <f t="shared" si="69"/>
        <v>00</v>
      </c>
      <c r="F301" t="str">
        <f>"750"</f>
        <v>750</v>
      </c>
      <c r="G301">
        <v>5</v>
      </c>
      <c r="H301" t="str">
        <f t="shared" si="77"/>
        <v>99</v>
      </c>
      <c r="I301" t="str">
        <f t="shared" si="61"/>
        <v>0</v>
      </c>
      <c r="J301" t="str">
        <f t="shared" si="71"/>
        <v>00</v>
      </c>
      <c r="K301">
        <v>20140926</v>
      </c>
      <c r="L301" t="str">
        <f>"014454"</f>
        <v>014454</v>
      </c>
      <c r="M301" t="str">
        <f>"00079"</f>
        <v>00079</v>
      </c>
      <c r="N301" t="s">
        <v>311</v>
      </c>
      <c r="O301">
        <v>600</v>
      </c>
      <c r="Q301" t="s">
        <v>33</v>
      </c>
      <c r="R301" t="s">
        <v>34</v>
      </c>
      <c r="S301" t="s">
        <v>35</v>
      </c>
      <c r="T301" t="s">
        <v>35</v>
      </c>
      <c r="U301" t="s">
        <v>34</v>
      </c>
      <c r="V301" t="str">
        <f>""</f>
        <v/>
      </c>
      <c r="W301">
        <v>20140923</v>
      </c>
      <c r="X301" t="s">
        <v>255</v>
      </c>
      <c r="Y301" t="s">
        <v>312</v>
      </c>
      <c r="Z301" t="s">
        <v>312</v>
      </c>
      <c r="AA301">
        <v>0</v>
      </c>
      <c r="AB301" t="s">
        <v>142</v>
      </c>
      <c r="AC301" t="s">
        <v>170</v>
      </c>
      <c r="AD301" t="s">
        <v>40</v>
      </c>
      <c r="AE301" t="str">
        <f t="shared" si="78"/>
        <v>09</v>
      </c>
      <c r="AF301" t="s">
        <v>40</v>
      </c>
    </row>
    <row r="302" spans="1:32" x14ac:dyDescent="0.25">
      <c r="A302">
        <v>5</v>
      </c>
      <c r="B302">
        <v>420</v>
      </c>
      <c r="C302" t="str">
        <f>"51"</f>
        <v>51</v>
      </c>
      <c r="D302">
        <v>6249</v>
      </c>
      <c r="E302" t="str">
        <f t="shared" si="69"/>
        <v>00</v>
      </c>
      <c r="F302" t="str">
        <f>"999"</f>
        <v>999</v>
      </c>
      <c r="G302">
        <v>5</v>
      </c>
      <c r="H302" t="str">
        <f t="shared" si="77"/>
        <v>99</v>
      </c>
      <c r="I302" t="str">
        <f t="shared" si="61"/>
        <v>0</v>
      </c>
      <c r="J302" t="str">
        <f t="shared" si="71"/>
        <v>00</v>
      </c>
      <c r="K302">
        <v>20140926</v>
      </c>
      <c r="L302" t="str">
        <f>"014455"</f>
        <v>014455</v>
      </c>
      <c r="M302" t="str">
        <f>"00172"</f>
        <v>00172</v>
      </c>
      <c r="N302" t="s">
        <v>313</v>
      </c>
      <c r="O302" s="1">
        <v>2800</v>
      </c>
      <c r="Q302" t="s">
        <v>33</v>
      </c>
      <c r="R302" t="s">
        <v>34</v>
      </c>
      <c r="S302" t="s">
        <v>35</v>
      </c>
      <c r="T302" t="s">
        <v>35</v>
      </c>
      <c r="U302" t="s">
        <v>34</v>
      </c>
      <c r="V302" t="str">
        <f>""</f>
        <v/>
      </c>
      <c r="W302">
        <v>20140926</v>
      </c>
      <c r="X302" t="s">
        <v>314</v>
      </c>
      <c r="Y302" t="s">
        <v>315</v>
      </c>
      <c r="Z302" t="s">
        <v>315</v>
      </c>
      <c r="AA302">
        <v>0</v>
      </c>
      <c r="AB302" t="s">
        <v>142</v>
      </c>
      <c r="AC302" t="s">
        <v>143</v>
      </c>
      <c r="AD302" t="s">
        <v>40</v>
      </c>
      <c r="AE302" t="str">
        <f t="shared" si="78"/>
        <v>09</v>
      </c>
      <c r="AF302" t="s">
        <v>40</v>
      </c>
    </row>
    <row r="303" spans="1:32" x14ac:dyDescent="0.25">
      <c r="A303">
        <v>5</v>
      </c>
      <c r="B303">
        <v>240</v>
      </c>
      <c r="C303" t="str">
        <f>"35"</f>
        <v>35</v>
      </c>
      <c r="D303">
        <v>6299</v>
      </c>
      <c r="E303" t="str">
        <f t="shared" si="69"/>
        <v>00</v>
      </c>
      <c r="F303" t="str">
        <f>"999"</f>
        <v>999</v>
      </c>
      <c r="G303">
        <v>5</v>
      </c>
      <c r="H303" t="str">
        <f t="shared" si="77"/>
        <v>99</v>
      </c>
      <c r="I303" t="str">
        <f t="shared" si="61"/>
        <v>0</v>
      </c>
      <c r="J303" t="str">
        <f t="shared" si="71"/>
        <v>00</v>
      </c>
      <c r="K303">
        <v>20140926</v>
      </c>
      <c r="L303" t="str">
        <f>"014456"</f>
        <v>014456</v>
      </c>
      <c r="M303" t="str">
        <f>"00718"</f>
        <v>00718</v>
      </c>
      <c r="N303" t="s">
        <v>316</v>
      </c>
      <c r="O303">
        <v>142</v>
      </c>
      <c r="Q303" t="s">
        <v>33</v>
      </c>
      <c r="R303" t="s">
        <v>34</v>
      </c>
      <c r="S303" t="s">
        <v>35</v>
      </c>
      <c r="T303" t="s">
        <v>35</v>
      </c>
      <c r="U303" t="s">
        <v>34</v>
      </c>
      <c r="V303" t="str">
        <f>""</f>
        <v/>
      </c>
      <c r="W303">
        <v>20140923</v>
      </c>
      <c r="X303" t="s">
        <v>252</v>
      </c>
      <c r="Y303" t="s">
        <v>317</v>
      </c>
      <c r="Z303" t="s">
        <v>317</v>
      </c>
      <c r="AA303">
        <v>0</v>
      </c>
      <c r="AB303" t="s">
        <v>238</v>
      </c>
      <c r="AC303" t="s">
        <v>143</v>
      </c>
      <c r="AD303" t="s">
        <v>40</v>
      </c>
      <c r="AE303" t="str">
        <f t="shared" si="78"/>
        <v>09</v>
      </c>
      <c r="AF303" t="s">
        <v>40</v>
      </c>
    </row>
    <row r="304" spans="1:32" x14ac:dyDescent="0.25">
      <c r="A304">
        <v>5</v>
      </c>
      <c r="B304">
        <v>420</v>
      </c>
      <c r="C304" t="str">
        <f>"11"</f>
        <v>11</v>
      </c>
      <c r="D304">
        <v>6269</v>
      </c>
      <c r="E304" t="str">
        <f t="shared" si="69"/>
        <v>00</v>
      </c>
      <c r="F304" t="str">
        <f>"999"</f>
        <v>999</v>
      </c>
      <c r="G304">
        <v>5</v>
      </c>
      <c r="H304" t="str">
        <f>"11"</f>
        <v>11</v>
      </c>
      <c r="I304" t="str">
        <f t="shared" si="61"/>
        <v>0</v>
      </c>
      <c r="J304" t="str">
        <f t="shared" si="71"/>
        <v>00</v>
      </c>
      <c r="K304">
        <v>20140926</v>
      </c>
      <c r="L304" t="str">
        <f>"014457"</f>
        <v>014457</v>
      </c>
      <c r="M304" t="str">
        <f>"00622"</f>
        <v>00622</v>
      </c>
      <c r="N304" t="s">
        <v>318</v>
      </c>
      <c r="O304">
        <v>414.8</v>
      </c>
      <c r="Q304" t="s">
        <v>33</v>
      </c>
      <c r="R304" t="s">
        <v>34</v>
      </c>
      <c r="S304" t="s">
        <v>35</v>
      </c>
      <c r="T304" t="s">
        <v>35</v>
      </c>
      <c r="U304" t="s">
        <v>34</v>
      </c>
      <c r="V304" t="str">
        <f>""</f>
        <v/>
      </c>
      <c r="W304">
        <v>20140923</v>
      </c>
      <c r="X304" t="s">
        <v>213</v>
      </c>
      <c r="Y304" t="s">
        <v>319</v>
      </c>
      <c r="Z304" t="s">
        <v>319</v>
      </c>
      <c r="AA304">
        <v>0</v>
      </c>
      <c r="AB304" t="s">
        <v>142</v>
      </c>
      <c r="AC304" t="s">
        <v>143</v>
      </c>
      <c r="AD304" t="s">
        <v>40</v>
      </c>
      <c r="AE304" t="str">
        <f t="shared" si="78"/>
        <v>09</v>
      </c>
      <c r="AF304" t="s">
        <v>40</v>
      </c>
    </row>
    <row r="305" spans="1:32" x14ac:dyDescent="0.25">
      <c r="A305">
        <v>5</v>
      </c>
      <c r="B305">
        <v>420</v>
      </c>
      <c r="C305" t="str">
        <f>"51"</f>
        <v>51</v>
      </c>
      <c r="D305">
        <v>6259</v>
      </c>
      <c r="E305" t="str">
        <f>"53"</f>
        <v>53</v>
      </c>
      <c r="F305" t="str">
        <f>"999"</f>
        <v>999</v>
      </c>
      <c r="G305">
        <v>5</v>
      </c>
      <c r="H305" t="str">
        <f t="shared" ref="H305:H312" si="79">"99"</f>
        <v>99</v>
      </c>
      <c r="I305" t="str">
        <f t="shared" si="61"/>
        <v>0</v>
      </c>
      <c r="J305" t="str">
        <f t="shared" si="71"/>
        <v>00</v>
      </c>
      <c r="K305">
        <v>20140926</v>
      </c>
      <c r="L305" t="str">
        <f>"014458"</f>
        <v>014458</v>
      </c>
      <c r="M305" t="str">
        <f>"00726"</f>
        <v>00726</v>
      </c>
      <c r="N305" t="s">
        <v>227</v>
      </c>
      <c r="O305" s="1">
        <v>1715.67</v>
      </c>
      <c r="Q305" t="s">
        <v>33</v>
      </c>
      <c r="R305" t="s">
        <v>34</v>
      </c>
      <c r="S305" t="s">
        <v>35</v>
      </c>
      <c r="T305" t="s">
        <v>35</v>
      </c>
      <c r="U305" t="s">
        <v>34</v>
      </c>
      <c r="V305" t="str">
        <f>""</f>
        <v/>
      </c>
      <c r="W305">
        <v>20140926</v>
      </c>
      <c r="X305" t="s">
        <v>228</v>
      </c>
      <c r="Y305" t="s">
        <v>229</v>
      </c>
      <c r="Z305" t="s">
        <v>229</v>
      </c>
      <c r="AA305">
        <v>0</v>
      </c>
      <c r="AB305" t="s">
        <v>142</v>
      </c>
      <c r="AC305" t="s">
        <v>143</v>
      </c>
      <c r="AD305" t="s">
        <v>40</v>
      </c>
      <c r="AE305" t="str">
        <f t="shared" si="78"/>
        <v>09</v>
      </c>
      <c r="AF305" t="s">
        <v>40</v>
      </c>
    </row>
    <row r="306" spans="1:32" x14ac:dyDescent="0.25">
      <c r="A306">
        <v>5</v>
      </c>
      <c r="B306">
        <v>420</v>
      </c>
      <c r="C306" t="str">
        <f>"34"</f>
        <v>34</v>
      </c>
      <c r="D306">
        <v>6429</v>
      </c>
      <c r="E306" t="str">
        <f t="shared" ref="E306:E322" si="80">"00"</f>
        <v>00</v>
      </c>
      <c r="F306" t="str">
        <f>"999"</f>
        <v>999</v>
      </c>
      <c r="G306">
        <v>5</v>
      </c>
      <c r="H306" t="str">
        <f t="shared" si="79"/>
        <v>99</v>
      </c>
      <c r="I306" t="str">
        <f t="shared" si="61"/>
        <v>0</v>
      </c>
      <c r="J306" t="str">
        <f t="shared" si="71"/>
        <v>00</v>
      </c>
      <c r="K306">
        <v>20140926</v>
      </c>
      <c r="L306" t="str">
        <f>"014459"</f>
        <v>014459</v>
      </c>
      <c r="M306" t="str">
        <f>"00740"</f>
        <v>00740</v>
      </c>
      <c r="N306" t="s">
        <v>320</v>
      </c>
      <c r="O306">
        <v>395.6</v>
      </c>
      <c r="Q306" t="s">
        <v>33</v>
      </c>
      <c r="R306" t="s">
        <v>34</v>
      </c>
      <c r="S306" t="s">
        <v>35</v>
      </c>
      <c r="T306" t="s">
        <v>35</v>
      </c>
      <c r="U306" t="s">
        <v>34</v>
      </c>
      <c r="V306" t="str">
        <f>""</f>
        <v/>
      </c>
      <c r="W306">
        <v>20140926</v>
      </c>
      <c r="X306" t="s">
        <v>321</v>
      </c>
      <c r="Y306" t="s">
        <v>271</v>
      </c>
      <c r="Z306" t="s">
        <v>271</v>
      </c>
      <c r="AA306">
        <v>0</v>
      </c>
      <c r="AB306" t="s">
        <v>142</v>
      </c>
      <c r="AC306" t="s">
        <v>143</v>
      </c>
      <c r="AD306" t="s">
        <v>40</v>
      </c>
      <c r="AE306" t="str">
        <f t="shared" si="78"/>
        <v>09</v>
      </c>
      <c r="AF306" t="s">
        <v>40</v>
      </c>
    </row>
    <row r="307" spans="1:32" x14ac:dyDescent="0.25">
      <c r="A307">
        <v>5</v>
      </c>
      <c r="B307">
        <v>420</v>
      </c>
      <c r="C307" t="str">
        <f>"41"</f>
        <v>41</v>
      </c>
      <c r="D307">
        <v>6429</v>
      </c>
      <c r="E307" t="str">
        <f t="shared" si="80"/>
        <v>00</v>
      </c>
      <c r="F307" t="str">
        <f>"750"</f>
        <v>750</v>
      </c>
      <c r="G307">
        <v>5</v>
      </c>
      <c r="H307" t="str">
        <f t="shared" si="79"/>
        <v>99</v>
      </c>
      <c r="I307" t="str">
        <f t="shared" si="61"/>
        <v>0</v>
      </c>
      <c r="J307" t="str">
        <f t="shared" si="71"/>
        <v>00</v>
      </c>
      <c r="K307">
        <v>20140926</v>
      </c>
      <c r="L307" t="str">
        <f>"014459"</f>
        <v>014459</v>
      </c>
      <c r="M307" t="str">
        <f>"00740"</f>
        <v>00740</v>
      </c>
      <c r="N307" t="s">
        <v>320</v>
      </c>
      <c r="O307">
        <v>58.21</v>
      </c>
      <c r="Q307" t="s">
        <v>33</v>
      </c>
      <c r="R307" t="s">
        <v>34</v>
      </c>
      <c r="S307" t="s">
        <v>35</v>
      </c>
      <c r="T307" t="s">
        <v>35</v>
      </c>
      <c r="U307" t="s">
        <v>34</v>
      </c>
      <c r="V307" t="str">
        <f>""</f>
        <v/>
      </c>
      <c r="W307">
        <v>20140926</v>
      </c>
      <c r="X307" t="s">
        <v>322</v>
      </c>
      <c r="Y307" t="s">
        <v>271</v>
      </c>
      <c r="Z307" t="s">
        <v>271</v>
      </c>
      <c r="AA307">
        <v>0</v>
      </c>
      <c r="AB307" t="s">
        <v>142</v>
      </c>
      <c r="AC307" t="s">
        <v>170</v>
      </c>
      <c r="AD307" t="s">
        <v>40</v>
      </c>
      <c r="AE307" t="str">
        <f t="shared" si="78"/>
        <v>09</v>
      </c>
      <c r="AF307" t="s">
        <v>40</v>
      </c>
    </row>
    <row r="308" spans="1:32" x14ac:dyDescent="0.25">
      <c r="A308">
        <v>5</v>
      </c>
      <c r="B308">
        <v>420</v>
      </c>
      <c r="C308" t="str">
        <f>"51"</f>
        <v>51</v>
      </c>
      <c r="D308">
        <v>6429</v>
      </c>
      <c r="E308" t="str">
        <f t="shared" si="80"/>
        <v>00</v>
      </c>
      <c r="F308" t="str">
        <f>"999"</f>
        <v>999</v>
      </c>
      <c r="G308">
        <v>5</v>
      </c>
      <c r="H308" t="str">
        <f t="shared" si="79"/>
        <v>99</v>
      </c>
      <c r="I308" t="str">
        <f t="shared" si="61"/>
        <v>0</v>
      </c>
      <c r="J308" t="str">
        <f t="shared" si="71"/>
        <v>00</v>
      </c>
      <c r="K308">
        <v>20140926</v>
      </c>
      <c r="L308" t="str">
        <f>"014459"</f>
        <v>014459</v>
      </c>
      <c r="M308" t="str">
        <f>"00740"</f>
        <v>00740</v>
      </c>
      <c r="N308" t="s">
        <v>320</v>
      </c>
      <c r="O308" s="1">
        <v>1398.91</v>
      </c>
      <c r="Q308" t="s">
        <v>33</v>
      </c>
      <c r="R308" t="s">
        <v>34</v>
      </c>
      <c r="S308" t="s">
        <v>35</v>
      </c>
      <c r="T308" t="s">
        <v>35</v>
      </c>
      <c r="U308" t="s">
        <v>34</v>
      </c>
      <c r="V308" t="str">
        <f>""</f>
        <v/>
      </c>
      <c r="W308">
        <v>20140926</v>
      </c>
      <c r="X308" t="s">
        <v>323</v>
      </c>
      <c r="Y308" t="s">
        <v>271</v>
      </c>
      <c r="Z308" t="s">
        <v>271</v>
      </c>
      <c r="AA308">
        <v>0</v>
      </c>
      <c r="AB308" t="s">
        <v>142</v>
      </c>
      <c r="AC308" t="s">
        <v>143</v>
      </c>
      <c r="AD308" t="s">
        <v>40</v>
      </c>
      <c r="AE308" t="str">
        <f t="shared" si="78"/>
        <v>09</v>
      </c>
      <c r="AF308" t="s">
        <v>40</v>
      </c>
    </row>
    <row r="309" spans="1:32" x14ac:dyDescent="0.25">
      <c r="A309">
        <v>5</v>
      </c>
      <c r="B309">
        <v>240</v>
      </c>
      <c r="C309" t="str">
        <f>"35"</f>
        <v>35</v>
      </c>
      <c r="D309">
        <v>6341</v>
      </c>
      <c r="E309" t="str">
        <f t="shared" si="80"/>
        <v>00</v>
      </c>
      <c r="F309" t="str">
        <f>"999"</f>
        <v>999</v>
      </c>
      <c r="G309">
        <v>5</v>
      </c>
      <c r="H309" t="str">
        <f t="shared" si="79"/>
        <v>99</v>
      </c>
      <c r="I309" t="str">
        <f t="shared" si="61"/>
        <v>0</v>
      </c>
      <c r="J309" t="str">
        <f t="shared" si="71"/>
        <v>00</v>
      </c>
      <c r="K309">
        <v>20140926</v>
      </c>
      <c r="L309" t="str">
        <f>"014460"</f>
        <v>014460</v>
      </c>
      <c r="M309" t="str">
        <f>"00410"</f>
        <v>00410</v>
      </c>
      <c r="N309" t="s">
        <v>324</v>
      </c>
      <c r="O309">
        <v>370.5</v>
      </c>
      <c r="Q309" t="s">
        <v>33</v>
      </c>
      <c r="R309" t="s">
        <v>34</v>
      </c>
      <c r="S309" t="s">
        <v>35</v>
      </c>
      <c r="T309" t="s">
        <v>35</v>
      </c>
      <c r="U309" t="s">
        <v>34</v>
      </c>
      <c r="V309" t="str">
        <f>""</f>
        <v/>
      </c>
      <c r="W309">
        <v>20140923</v>
      </c>
      <c r="X309" t="s">
        <v>268</v>
      </c>
      <c r="Y309" t="s">
        <v>310</v>
      </c>
      <c r="Z309" t="s">
        <v>310</v>
      </c>
      <c r="AA309">
        <v>0</v>
      </c>
      <c r="AB309" t="s">
        <v>238</v>
      </c>
      <c r="AC309" t="s">
        <v>143</v>
      </c>
      <c r="AD309" t="s">
        <v>40</v>
      </c>
      <c r="AE309" t="str">
        <f t="shared" si="78"/>
        <v>09</v>
      </c>
      <c r="AF309" t="s">
        <v>40</v>
      </c>
    </row>
    <row r="310" spans="1:32" x14ac:dyDescent="0.25">
      <c r="A310">
        <v>5</v>
      </c>
      <c r="B310">
        <v>240</v>
      </c>
      <c r="C310" t="str">
        <f>"35"</f>
        <v>35</v>
      </c>
      <c r="D310">
        <v>6341</v>
      </c>
      <c r="E310" t="str">
        <f t="shared" si="80"/>
        <v>00</v>
      </c>
      <c r="F310" t="str">
        <f>"999"</f>
        <v>999</v>
      </c>
      <c r="G310">
        <v>5</v>
      </c>
      <c r="H310" t="str">
        <f t="shared" si="79"/>
        <v>99</v>
      </c>
      <c r="I310" t="str">
        <f t="shared" si="61"/>
        <v>0</v>
      </c>
      <c r="J310" t="str">
        <f t="shared" si="71"/>
        <v>00</v>
      </c>
      <c r="K310">
        <v>20140926</v>
      </c>
      <c r="L310" t="str">
        <f>"014460"</f>
        <v>014460</v>
      </c>
      <c r="M310" t="str">
        <f>"00410"</f>
        <v>00410</v>
      </c>
      <c r="N310" t="s">
        <v>324</v>
      </c>
      <c r="O310">
        <v>247</v>
      </c>
      <c r="Q310" t="s">
        <v>33</v>
      </c>
      <c r="R310" t="s">
        <v>34</v>
      </c>
      <c r="S310" t="s">
        <v>35</v>
      </c>
      <c r="T310" t="s">
        <v>35</v>
      </c>
      <c r="U310" t="s">
        <v>34</v>
      </c>
      <c r="V310" t="str">
        <f>""</f>
        <v/>
      </c>
      <c r="W310">
        <v>20140923</v>
      </c>
      <c r="X310" t="s">
        <v>268</v>
      </c>
      <c r="Y310" t="s">
        <v>310</v>
      </c>
      <c r="Z310" t="s">
        <v>310</v>
      </c>
      <c r="AA310">
        <v>0</v>
      </c>
      <c r="AB310" t="s">
        <v>238</v>
      </c>
      <c r="AC310" t="s">
        <v>143</v>
      </c>
      <c r="AD310" t="s">
        <v>40</v>
      </c>
      <c r="AE310" t="str">
        <f t="shared" si="78"/>
        <v>09</v>
      </c>
      <c r="AF310" t="s">
        <v>40</v>
      </c>
    </row>
    <row r="311" spans="1:32" x14ac:dyDescent="0.25">
      <c r="A311">
        <v>5</v>
      </c>
      <c r="B311">
        <v>240</v>
      </c>
      <c r="C311" t="str">
        <f>"35"</f>
        <v>35</v>
      </c>
      <c r="D311">
        <v>6341</v>
      </c>
      <c r="E311" t="str">
        <f t="shared" si="80"/>
        <v>00</v>
      </c>
      <c r="F311" t="str">
        <f>"999"</f>
        <v>999</v>
      </c>
      <c r="G311">
        <v>5</v>
      </c>
      <c r="H311" t="str">
        <f t="shared" si="79"/>
        <v>99</v>
      </c>
      <c r="I311" t="str">
        <f t="shared" si="61"/>
        <v>0</v>
      </c>
      <c r="J311" t="str">
        <f t="shared" si="71"/>
        <v>00</v>
      </c>
      <c r="K311">
        <v>20140926</v>
      </c>
      <c r="L311" t="str">
        <f>"014460"</f>
        <v>014460</v>
      </c>
      <c r="M311" t="str">
        <f>"00410"</f>
        <v>00410</v>
      </c>
      <c r="N311" t="s">
        <v>324</v>
      </c>
      <c r="O311">
        <v>469.3</v>
      </c>
      <c r="Q311" t="s">
        <v>33</v>
      </c>
      <c r="R311" t="s">
        <v>34</v>
      </c>
      <c r="S311" t="s">
        <v>35</v>
      </c>
      <c r="T311" t="s">
        <v>35</v>
      </c>
      <c r="U311" t="s">
        <v>34</v>
      </c>
      <c r="V311" t="str">
        <f>""</f>
        <v/>
      </c>
      <c r="W311">
        <v>20140923</v>
      </c>
      <c r="X311" t="s">
        <v>268</v>
      </c>
      <c r="Y311" t="s">
        <v>310</v>
      </c>
      <c r="Z311" t="s">
        <v>310</v>
      </c>
      <c r="AA311">
        <v>0</v>
      </c>
      <c r="AB311" t="s">
        <v>238</v>
      </c>
      <c r="AC311" t="s">
        <v>143</v>
      </c>
      <c r="AD311" t="s">
        <v>40</v>
      </c>
      <c r="AE311" t="str">
        <f t="shared" si="78"/>
        <v>09</v>
      </c>
      <c r="AF311" t="s">
        <v>40</v>
      </c>
    </row>
    <row r="312" spans="1:32" x14ac:dyDescent="0.25">
      <c r="A312">
        <v>5</v>
      </c>
      <c r="B312">
        <v>420</v>
      </c>
      <c r="C312" t="str">
        <f>"52"</f>
        <v>52</v>
      </c>
      <c r="D312">
        <v>6219</v>
      </c>
      <c r="E312" t="str">
        <f t="shared" si="80"/>
        <v>00</v>
      </c>
      <c r="F312" t="str">
        <f>"999"</f>
        <v>999</v>
      </c>
      <c r="G312">
        <v>5</v>
      </c>
      <c r="H312" t="str">
        <f t="shared" si="79"/>
        <v>99</v>
      </c>
      <c r="I312" t="str">
        <f t="shared" si="61"/>
        <v>0</v>
      </c>
      <c r="J312" t="str">
        <f t="shared" si="71"/>
        <v>00</v>
      </c>
      <c r="K312">
        <v>20140926</v>
      </c>
      <c r="L312" t="str">
        <f>"014461"</f>
        <v>014461</v>
      </c>
      <c r="M312" t="str">
        <f>"00681"</f>
        <v>00681</v>
      </c>
      <c r="N312" t="s">
        <v>325</v>
      </c>
      <c r="O312">
        <v>77.5</v>
      </c>
      <c r="Q312" t="s">
        <v>33</v>
      </c>
      <c r="R312" t="s">
        <v>34</v>
      </c>
      <c r="S312" t="s">
        <v>35</v>
      </c>
      <c r="T312" t="s">
        <v>35</v>
      </c>
      <c r="U312" t="s">
        <v>34</v>
      </c>
      <c r="V312" t="str">
        <f>""</f>
        <v/>
      </c>
      <c r="W312">
        <v>20140926</v>
      </c>
      <c r="X312" t="s">
        <v>208</v>
      </c>
      <c r="Y312" t="s">
        <v>326</v>
      </c>
      <c r="Z312" t="s">
        <v>326</v>
      </c>
      <c r="AA312">
        <v>0</v>
      </c>
      <c r="AB312" t="s">
        <v>142</v>
      </c>
      <c r="AC312" t="s">
        <v>143</v>
      </c>
      <c r="AD312" t="s">
        <v>40</v>
      </c>
      <c r="AE312" t="str">
        <f t="shared" si="78"/>
        <v>09</v>
      </c>
      <c r="AF312" t="s">
        <v>40</v>
      </c>
    </row>
    <row r="313" spans="1:32" x14ac:dyDescent="0.25">
      <c r="A313">
        <v>5</v>
      </c>
      <c r="B313">
        <v>211</v>
      </c>
      <c r="C313" t="str">
        <f>"11"</f>
        <v>11</v>
      </c>
      <c r="D313">
        <v>6219</v>
      </c>
      <c r="E313" t="str">
        <f t="shared" si="80"/>
        <v>00</v>
      </c>
      <c r="F313" t="str">
        <f>"001"</f>
        <v>001</v>
      </c>
      <c r="G313">
        <v>5</v>
      </c>
      <c r="H313" t="str">
        <f>"30"</f>
        <v>30</v>
      </c>
      <c r="I313" t="str">
        <f t="shared" si="61"/>
        <v>0</v>
      </c>
      <c r="J313" t="str">
        <f t="shared" si="71"/>
        <v>00</v>
      </c>
      <c r="K313">
        <v>20140926</v>
      </c>
      <c r="L313" t="str">
        <f>"014462"</f>
        <v>014462</v>
      </c>
      <c r="M313" t="str">
        <f>"00762"</f>
        <v>00762</v>
      </c>
      <c r="N313" t="s">
        <v>52</v>
      </c>
      <c r="O313">
        <v>16.239999999999998</v>
      </c>
      <c r="Q313" t="s">
        <v>33</v>
      </c>
      <c r="R313" t="s">
        <v>34</v>
      </c>
      <c r="S313" t="s">
        <v>35</v>
      </c>
      <c r="T313" t="s">
        <v>35</v>
      </c>
      <c r="U313" t="s">
        <v>34</v>
      </c>
      <c r="V313" t="str">
        <f>""</f>
        <v/>
      </c>
      <c r="W313">
        <v>20140926</v>
      </c>
      <c r="X313" t="s">
        <v>173</v>
      </c>
      <c r="Y313" t="s">
        <v>327</v>
      </c>
      <c r="Z313" t="s">
        <v>327</v>
      </c>
      <c r="AA313">
        <v>0</v>
      </c>
      <c r="AB313" t="s">
        <v>174</v>
      </c>
      <c r="AC313" t="s">
        <v>41</v>
      </c>
      <c r="AD313" t="s">
        <v>40</v>
      </c>
      <c r="AE313" t="str">
        <f t="shared" si="78"/>
        <v>09</v>
      </c>
      <c r="AF313" t="s">
        <v>40</v>
      </c>
    </row>
    <row r="314" spans="1:32" x14ac:dyDescent="0.25">
      <c r="A314">
        <v>5</v>
      </c>
      <c r="B314">
        <v>420</v>
      </c>
      <c r="C314" t="str">
        <f>"11"</f>
        <v>11</v>
      </c>
      <c r="D314">
        <v>6411</v>
      </c>
      <c r="E314" t="str">
        <f t="shared" si="80"/>
        <v>00</v>
      </c>
      <c r="F314" t="str">
        <f t="shared" ref="F314:F334" si="81">"999"</f>
        <v>999</v>
      </c>
      <c r="G314">
        <v>5</v>
      </c>
      <c r="H314" t="str">
        <f>"11"</f>
        <v>11</v>
      </c>
      <c r="I314" t="str">
        <f t="shared" si="61"/>
        <v>0</v>
      </c>
      <c r="J314" t="str">
        <f t="shared" si="71"/>
        <v>00</v>
      </c>
      <c r="K314">
        <v>20140926</v>
      </c>
      <c r="L314" t="str">
        <f>"014462"</f>
        <v>014462</v>
      </c>
      <c r="M314" t="str">
        <f>"00762"</f>
        <v>00762</v>
      </c>
      <c r="N314" t="s">
        <v>52</v>
      </c>
      <c r="O314">
        <v>72.319999999999993</v>
      </c>
      <c r="Q314" t="s">
        <v>33</v>
      </c>
      <c r="R314" t="s">
        <v>34</v>
      </c>
      <c r="S314" t="s">
        <v>35</v>
      </c>
      <c r="T314" t="s">
        <v>35</v>
      </c>
      <c r="U314" t="s">
        <v>34</v>
      </c>
      <c r="V314" t="str">
        <f>""</f>
        <v/>
      </c>
      <c r="W314">
        <v>20140926</v>
      </c>
      <c r="X314" t="s">
        <v>328</v>
      </c>
      <c r="Y314" t="s">
        <v>327</v>
      </c>
      <c r="Z314" t="s">
        <v>327</v>
      </c>
      <c r="AA314">
        <v>0</v>
      </c>
      <c r="AB314" t="s">
        <v>142</v>
      </c>
      <c r="AC314" t="s">
        <v>143</v>
      </c>
      <c r="AD314" t="s">
        <v>40</v>
      </c>
      <c r="AE314" t="str">
        <f t="shared" si="78"/>
        <v>09</v>
      </c>
      <c r="AF314" t="s">
        <v>40</v>
      </c>
    </row>
    <row r="315" spans="1:32" x14ac:dyDescent="0.25">
      <c r="A315">
        <v>5</v>
      </c>
      <c r="B315">
        <v>240</v>
      </c>
      <c r="C315" t="str">
        <f>"35"</f>
        <v>35</v>
      </c>
      <c r="D315">
        <v>6341</v>
      </c>
      <c r="E315" t="str">
        <f t="shared" si="80"/>
        <v>00</v>
      </c>
      <c r="F315" t="str">
        <f t="shared" si="81"/>
        <v>999</v>
      </c>
      <c r="G315">
        <v>5</v>
      </c>
      <c r="H315" t="str">
        <f t="shared" ref="H315:H323" si="82">"99"</f>
        <v>99</v>
      </c>
      <c r="I315" t="str">
        <f t="shared" si="61"/>
        <v>0</v>
      </c>
      <c r="J315" t="str">
        <f t="shared" si="71"/>
        <v>00</v>
      </c>
      <c r="K315">
        <v>20140926</v>
      </c>
      <c r="L315" t="str">
        <f>"014463"</f>
        <v>014463</v>
      </c>
      <c r="M315" t="str">
        <f>"00391"</f>
        <v>00391</v>
      </c>
      <c r="N315" t="s">
        <v>265</v>
      </c>
      <c r="O315" s="1">
        <v>3725.77</v>
      </c>
      <c r="Q315" t="s">
        <v>33</v>
      </c>
      <c r="R315" t="s">
        <v>34</v>
      </c>
      <c r="S315" t="s">
        <v>35</v>
      </c>
      <c r="T315" t="s">
        <v>35</v>
      </c>
      <c r="U315" t="s">
        <v>34</v>
      </c>
      <c r="V315" t="str">
        <f>""</f>
        <v/>
      </c>
      <c r="W315">
        <v>20140923</v>
      </c>
      <c r="X315" t="s">
        <v>268</v>
      </c>
      <c r="Y315" t="s">
        <v>266</v>
      </c>
      <c r="Z315" t="s">
        <v>266</v>
      </c>
      <c r="AA315">
        <v>0</v>
      </c>
      <c r="AB315" t="s">
        <v>238</v>
      </c>
      <c r="AC315" t="s">
        <v>143</v>
      </c>
      <c r="AD315" t="s">
        <v>40</v>
      </c>
      <c r="AE315" t="str">
        <f t="shared" si="78"/>
        <v>09</v>
      </c>
      <c r="AF315" t="s">
        <v>40</v>
      </c>
    </row>
    <row r="316" spans="1:32" x14ac:dyDescent="0.25">
      <c r="A316">
        <v>5</v>
      </c>
      <c r="B316">
        <v>240</v>
      </c>
      <c r="C316" t="str">
        <f>"35"</f>
        <v>35</v>
      </c>
      <c r="D316">
        <v>6341</v>
      </c>
      <c r="E316" t="str">
        <f t="shared" si="80"/>
        <v>00</v>
      </c>
      <c r="F316" t="str">
        <f t="shared" si="81"/>
        <v>999</v>
      </c>
      <c r="G316">
        <v>5</v>
      </c>
      <c r="H316" t="str">
        <f t="shared" si="82"/>
        <v>99</v>
      </c>
      <c r="I316" t="str">
        <f t="shared" si="61"/>
        <v>0</v>
      </c>
      <c r="J316" t="str">
        <f t="shared" si="71"/>
        <v>00</v>
      </c>
      <c r="K316">
        <v>20140926</v>
      </c>
      <c r="L316" t="str">
        <f>"014463"</f>
        <v>014463</v>
      </c>
      <c r="M316" t="str">
        <f>"00391"</f>
        <v>00391</v>
      </c>
      <c r="N316" t="s">
        <v>265</v>
      </c>
      <c r="O316">
        <v>143.08000000000001</v>
      </c>
      <c r="Q316" t="s">
        <v>33</v>
      </c>
      <c r="R316" t="s">
        <v>34</v>
      </c>
      <c r="S316" t="s">
        <v>35</v>
      </c>
      <c r="T316" t="s">
        <v>35</v>
      </c>
      <c r="U316" t="s">
        <v>34</v>
      </c>
      <c r="V316" t="str">
        <f>""</f>
        <v/>
      </c>
      <c r="W316">
        <v>20140923</v>
      </c>
      <c r="X316" t="s">
        <v>268</v>
      </c>
      <c r="Y316" t="s">
        <v>266</v>
      </c>
      <c r="Z316" t="s">
        <v>266</v>
      </c>
      <c r="AA316">
        <v>0</v>
      </c>
      <c r="AB316" t="s">
        <v>238</v>
      </c>
      <c r="AC316" t="s">
        <v>143</v>
      </c>
      <c r="AD316" t="s">
        <v>40</v>
      </c>
      <c r="AE316" t="str">
        <f t="shared" si="78"/>
        <v>09</v>
      </c>
      <c r="AF316" t="s">
        <v>40</v>
      </c>
    </row>
    <row r="317" spans="1:32" x14ac:dyDescent="0.25">
      <c r="A317">
        <v>5</v>
      </c>
      <c r="B317">
        <v>240</v>
      </c>
      <c r="C317" t="str">
        <f>"35"</f>
        <v>35</v>
      </c>
      <c r="D317">
        <v>6342</v>
      </c>
      <c r="E317" t="str">
        <f t="shared" si="80"/>
        <v>00</v>
      </c>
      <c r="F317" t="str">
        <f t="shared" si="81"/>
        <v>999</v>
      </c>
      <c r="G317">
        <v>5</v>
      </c>
      <c r="H317" t="str">
        <f t="shared" si="82"/>
        <v>99</v>
      </c>
      <c r="I317" t="str">
        <f t="shared" si="61"/>
        <v>0</v>
      </c>
      <c r="J317" t="str">
        <f t="shared" si="71"/>
        <v>00</v>
      </c>
      <c r="K317">
        <v>20140926</v>
      </c>
      <c r="L317" t="str">
        <f>"014463"</f>
        <v>014463</v>
      </c>
      <c r="M317" t="str">
        <f>"00391"</f>
        <v>00391</v>
      </c>
      <c r="N317" t="s">
        <v>265</v>
      </c>
      <c r="O317">
        <v>248.06</v>
      </c>
      <c r="Q317" t="s">
        <v>33</v>
      </c>
      <c r="R317" t="s">
        <v>34</v>
      </c>
      <c r="S317" t="s">
        <v>35</v>
      </c>
      <c r="T317" t="s">
        <v>35</v>
      </c>
      <c r="U317" t="s">
        <v>34</v>
      </c>
      <c r="V317" t="str">
        <f>""</f>
        <v/>
      </c>
      <c r="W317">
        <v>20140923</v>
      </c>
      <c r="X317" t="s">
        <v>269</v>
      </c>
      <c r="Y317" t="s">
        <v>266</v>
      </c>
      <c r="Z317" t="s">
        <v>266</v>
      </c>
      <c r="AA317">
        <v>0</v>
      </c>
      <c r="AB317" t="s">
        <v>238</v>
      </c>
      <c r="AC317" t="s">
        <v>143</v>
      </c>
      <c r="AD317" t="s">
        <v>40</v>
      </c>
      <c r="AE317" t="str">
        <f t="shared" si="78"/>
        <v>09</v>
      </c>
      <c r="AF317" t="s">
        <v>40</v>
      </c>
    </row>
    <row r="318" spans="1:32" x14ac:dyDescent="0.25">
      <c r="A318">
        <v>5</v>
      </c>
      <c r="B318">
        <v>240</v>
      </c>
      <c r="C318" t="str">
        <f>"35"</f>
        <v>35</v>
      </c>
      <c r="D318">
        <v>6299</v>
      </c>
      <c r="E318" t="str">
        <f t="shared" si="80"/>
        <v>00</v>
      </c>
      <c r="F318" t="str">
        <f t="shared" si="81"/>
        <v>999</v>
      </c>
      <c r="G318">
        <v>5</v>
      </c>
      <c r="H318" t="str">
        <f t="shared" si="82"/>
        <v>99</v>
      </c>
      <c r="I318" t="str">
        <f t="shared" si="61"/>
        <v>0</v>
      </c>
      <c r="J318" t="str">
        <f t="shared" si="71"/>
        <v>00</v>
      </c>
      <c r="K318">
        <v>20140926</v>
      </c>
      <c r="L318" t="str">
        <f>"014464"</f>
        <v>014464</v>
      </c>
      <c r="M318" t="str">
        <f>"00577"</f>
        <v>00577</v>
      </c>
      <c r="N318" t="s">
        <v>251</v>
      </c>
      <c r="O318">
        <v>26.12</v>
      </c>
      <c r="Q318" t="s">
        <v>33</v>
      </c>
      <c r="R318" t="s">
        <v>34</v>
      </c>
      <c r="S318" t="s">
        <v>35</v>
      </c>
      <c r="T318" t="s">
        <v>35</v>
      </c>
      <c r="U318" t="s">
        <v>34</v>
      </c>
      <c r="V318" t="str">
        <f>""</f>
        <v/>
      </c>
      <c r="W318">
        <v>20140923</v>
      </c>
      <c r="X318" t="s">
        <v>252</v>
      </c>
      <c r="Y318" t="s">
        <v>253</v>
      </c>
      <c r="Z318" t="s">
        <v>253</v>
      </c>
      <c r="AA318">
        <v>0</v>
      </c>
      <c r="AB318" t="s">
        <v>238</v>
      </c>
      <c r="AC318" t="s">
        <v>143</v>
      </c>
      <c r="AD318" t="s">
        <v>40</v>
      </c>
      <c r="AE318" t="str">
        <f t="shared" si="78"/>
        <v>09</v>
      </c>
      <c r="AF318" t="s">
        <v>40</v>
      </c>
    </row>
    <row r="319" spans="1:32" x14ac:dyDescent="0.25">
      <c r="A319">
        <v>5</v>
      </c>
      <c r="B319">
        <v>420</v>
      </c>
      <c r="C319" t="str">
        <f>"51"</f>
        <v>51</v>
      </c>
      <c r="D319">
        <v>6299</v>
      </c>
      <c r="E319" t="str">
        <f t="shared" si="80"/>
        <v>00</v>
      </c>
      <c r="F319" t="str">
        <f t="shared" si="81"/>
        <v>999</v>
      </c>
      <c r="G319">
        <v>5</v>
      </c>
      <c r="H319" t="str">
        <f t="shared" si="82"/>
        <v>99</v>
      </c>
      <c r="I319" t="str">
        <f t="shared" si="61"/>
        <v>0</v>
      </c>
      <c r="J319" t="str">
        <f t="shared" si="71"/>
        <v>00</v>
      </c>
      <c r="K319">
        <v>20140926</v>
      </c>
      <c r="L319" t="str">
        <f>"014464"</f>
        <v>014464</v>
      </c>
      <c r="M319" t="str">
        <f>"00577"</f>
        <v>00577</v>
      </c>
      <c r="N319" t="s">
        <v>251</v>
      </c>
      <c r="O319">
        <v>63.72</v>
      </c>
      <c r="Q319" t="s">
        <v>33</v>
      </c>
      <c r="R319" t="s">
        <v>34</v>
      </c>
      <c r="S319" t="s">
        <v>35</v>
      </c>
      <c r="T319" t="s">
        <v>35</v>
      </c>
      <c r="U319" t="s">
        <v>34</v>
      </c>
      <c r="V319" t="str">
        <f>""</f>
        <v/>
      </c>
      <c r="W319">
        <v>20140923</v>
      </c>
      <c r="X319" t="s">
        <v>203</v>
      </c>
      <c r="Y319" t="s">
        <v>253</v>
      </c>
      <c r="Z319" t="s">
        <v>253</v>
      </c>
      <c r="AA319">
        <v>0</v>
      </c>
      <c r="AB319" t="s">
        <v>142</v>
      </c>
      <c r="AC319" t="s">
        <v>143</v>
      </c>
      <c r="AD319" t="s">
        <v>40</v>
      </c>
      <c r="AE319" t="str">
        <f t="shared" si="78"/>
        <v>09</v>
      </c>
      <c r="AF319" t="s">
        <v>40</v>
      </c>
    </row>
    <row r="320" spans="1:32" x14ac:dyDescent="0.25">
      <c r="A320">
        <v>5</v>
      </c>
      <c r="B320">
        <v>420</v>
      </c>
      <c r="C320" t="str">
        <f>"34"</f>
        <v>34</v>
      </c>
      <c r="D320">
        <v>6513</v>
      </c>
      <c r="E320" t="str">
        <f t="shared" si="80"/>
        <v>00</v>
      </c>
      <c r="F320" t="str">
        <f t="shared" si="81"/>
        <v>999</v>
      </c>
      <c r="G320">
        <v>5</v>
      </c>
      <c r="H320" t="str">
        <f t="shared" si="82"/>
        <v>99</v>
      </c>
      <c r="I320" t="str">
        <f t="shared" si="61"/>
        <v>0</v>
      </c>
      <c r="J320" t="str">
        <f t="shared" si="71"/>
        <v>00</v>
      </c>
      <c r="K320">
        <v>20140926</v>
      </c>
      <c r="L320" t="str">
        <f>"014465"</f>
        <v>014465</v>
      </c>
      <c r="M320" t="str">
        <f>"00520"</f>
        <v>00520</v>
      </c>
      <c r="N320" t="s">
        <v>329</v>
      </c>
      <c r="O320" s="1">
        <v>1650.51</v>
      </c>
      <c r="Q320" t="s">
        <v>33</v>
      </c>
      <c r="R320" t="s">
        <v>34</v>
      </c>
      <c r="S320" t="s">
        <v>35</v>
      </c>
      <c r="T320" t="s">
        <v>35</v>
      </c>
      <c r="U320" t="s">
        <v>34</v>
      </c>
      <c r="V320" t="str">
        <f>""</f>
        <v/>
      </c>
      <c r="W320">
        <v>20140923</v>
      </c>
      <c r="X320" t="s">
        <v>330</v>
      </c>
      <c r="Y320" t="s">
        <v>331</v>
      </c>
      <c r="Z320" t="s">
        <v>331</v>
      </c>
      <c r="AA320">
        <v>0</v>
      </c>
      <c r="AB320" t="s">
        <v>142</v>
      </c>
      <c r="AC320" t="s">
        <v>143</v>
      </c>
      <c r="AD320" t="s">
        <v>40</v>
      </c>
      <c r="AE320" t="str">
        <f t="shared" si="78"/>
        <v>09</v>
      </c>
      <c r="AF320" t="s">
        <v>40</v>
      </c>
    </row>
    <row r="321" spans="1:32" x14ac:dyDescent="0.25">
      <c r="A321">
        <v>5</v>
      </c>
      <c r="B321">
        <v>240</v>
      </c>
      <c r="C321" t="str">
        <f>"35"</f>
        <v>35</v>
      </c>
      <c r="D321">
        <v>6349</v>
      </c>
      <c r="E321" t="str">
        <f t="shared" si="80"/>
        <v>00</v>
      </c>
      <c r="F321" t="str">
        <f t="shared" si="81"/>
        <v>999</v>
      </c>
      <c r="G321">
        <v>5</v>
      </c>
      <c r="H321" t="str">
        <f t="shared" si="82"/>
        <v>99</v>
      </c>
      <c r="I321" t="str">
        <f t="shared" si="61"/>
        <v>0</v>
      </c>
      <c r="J321" t="str">
        <f t="shared" si="71"/>
        <v>00</v>
      </c>
      <c r="K321">
        <v>20141002</v>
      </c>
      <c r="L321" t="str">
        <f>"014466"</f>
        <v>014466</v>
      </c>
      <c r="M321" t="str">
        <f>"00525"</f>
        <v>00525</v>
      </c>
      <c r="N321" t="s">
        <v>332</v>
      </c>
      <c r="O321">
        <v>519.92999999999995</v>
      </c>
      <c r="Q321" t="s">
        <v>33</v>
      </c>
      <c r="R321" t="s">
        <v>34</v>
      </c>
      <c r="S321" t="s">
        <v>35</v>
      </c>
      <c r="T321" t="s">
        <v>35</v>
      </c>
      <c r="U321" t="s">
        <v>34</v>
      </c>
      <c r="V321" t="str">
        <f>""</f>
        <v/>
      </c>
      <c r="W321">
        <v>20141002</v>
      </c>
      <c r="X321" t="s">
        <v>236</v>
      </c>
      <c r="Y321" t="s">
        <v>333</v>
      </c>
      <c r="Z321" t="s">
        <v>333</v>
      </c>
      <c r="AA321">
        <v>0</v>
      </c>
      <c r="AB321" t="s">
        <v>238</v>
      </c>
      <c r="AC321" t="s">
        <v>143</v>
      </c>
      <c r="AD321" t="s">
        <v>40</v>
      </c>
      <c r="AE321" t="str">
        <f t="shared" ref="AE321:AE352" si="83">"10"</f>
        <v>10</v>
      </c>
      <c r="AF321" t="s">
        <v>40</v>
      </c>
    </row>
    <row r="322" spans="1:32" x14ac:dyDescent="0.25">
      <c r="A322">
        <v>5</v>
      </c>
      <c r="B322">
        <v>420</v>
      </c>
      <c r="C322" t="str">
        <f>"51"</f>
        <v>51</v>
      </c>
      <c r="D322">
        <v>6319</v>
      </c>
      <c r="E322" t="str">
        <f t="shared" si="80"/>
        <v>00</v>
      </c>
      <c r="F322" t="str">
        <f t="shared" si="81"/>
        <v>999</v>
      </c>
      <c r="G322">
        <v>5</v>
      </c>
      <c r="H322" t="str">
        <f t="shared" si="82"/>
        <v>99</v>
      </c>
      <c r="I322" t="str">
        <f t="shared" ref="I322:I385" si="84">"0"</f>
        <v>0</v>
      </c>
      <c r="J322" t="str">
        <f t="shared" si="71"/>
        <v>00</v>
      </c>
      <c r="K322">
        <v>20141002</v>
      </c>
      <c r="L322" t="str">
        <f>"014467"</f>
        <v>014467</v>
      </c>
      <c r="M322" t="str">
        <f>"00599"</f>
        <v>00599</v>
      </c>
      <c r="N322" t="s">
        <v>334</v>
      </c>
      <c r="O322" s="1">
        <v>2220</v>
      </c>
      <c r="Q322" t="s">
        <v>33</v>
      </c>
      <c r="R322" t="s">
        <v>34</v>
      </c>
      <c r="S322" t="s">
        <v>35</v>
      </c>
      <c r="T322" t="s">
        <v>35</v>
      </c>
      <c r="U322" t="s">
        <v>34</v>
      </c>
      <c r="V322" t="str">
        <f>""</f>
        <v/>
      </c>
      <c r="W322">
        <v>20141002</v>
      </c>
      <c r="X322" t="s">
        <v>185</v>
      </c>
      <c r="Y322" t="s">
        <v>335</v>
      </c>
      <c r="Z322" t="s">
        <v>335</v>
      </c>
      <c r="AA322">
        <v>0</v>
      </c>
      <c r="AB322" t="s">
        <v>142</v>
      </c>
      <c r="AC322" t="s">
        <v>143</v>
      </c>
      <c r="AD322" t="s">
        <v>40</v>
      </c>
      <c r="AE322" t="str">
        <f t="shared" si="83"/>
        <v>10</v>
      </c>
      <c r="AF322" t="s">
        <v>40</v>
      </c>
    </row>
    <row r="323" spans="1:32" x14ac:dyDescent="0.25">
      <c r="A323">
        <v>5</v>
      </c>
      <c r="B323">
        <v>420</v>
      </c>
      <c r="C323" t="str">
        <f>"51"</f>
        <v>51</v>
      </c>
      <c r="D323">
        <v>6259</v>
      </c>
      <c r="E323" t="str">
        <f>"54"</f>
        <v>54</v>
      </c>
      <c r="F323" t="str">
        <f t="shared" si="81"/>
        <v>999</v>
      </c>
      <c r="G323">
        <v>5</v>
      </c>
      <c r="H323" t="str">
        <f t="shared" si="82"/>
        <v>99</v>
      </c>
      <c r="I323" t="str">
        <f t="shared" si="84"/>
        <v>0</v>
      </c>
      <c r="J323" t="str">
        <f t="shared" si="71"/>
        <v>00</v>
      </c>
      <c r="K323">
        <v>20141002</v>
      </c>
      <c r="L323" t="str">
        <f>"014468"</f>
        <v>014468</v>
      </c>
      <c r="M323" t="str">
        <f>"00030"</f>
        <v>00030</v>
      </c>
      <c r="N323" t="s">
        <v>215</v>
      </c>
      <c r="O323">
        <v>275.04000000000002</v>
      </c>
      <c r="Q323" t="s">
        <v>33</v>
      </c>
      <c r="R323" t="s">
        <v>34</v>
      </c>
      <c r="S323" t="s">
        <v>35</v>
      </c>
      <c r="T323" t="s">
        <v>35</v>
      </c>
      <c r="U323" t="s">
        <v>34</v>
      </c>
      <c r="V323" t="str">
        <f>""</f>
        <v/>
      </c>
      <c r="W323">
        <v>20141002</v>
      </c>
      <c r="X323" t="s">
        <v>216</v>
      </c>
      <c r="Y323" t="s">
        <v>217</v>
      </c>
      <c r="Z323" t="s">
        <v>217</v>
      </c>
      <c r="AA323">
        <v>0</v>
      </c>
      <c r="AB323" t="s">
        <v>142</v>
      </c>
      <c r="AC323" t="s">
        <v>143</v>
      </c>
      <c r="AD323" t="s">
        <v>40</v>
      </c>
      <c r="AE323" t="str">
        <f t="shared" si="83"/>
        <v>10</v>
      </c>
      <c r="AF323" t="s">
        <v>40</v>
      </c>
    </row>
    <row r="324" spans="1:32" x14ac:dyDescent="0.25">
      <c r="A324">
        <v>5</v>
      </c>
      <c r="B324">
        <v>420</v>
      </c>
      <c r="C324" t="str">
        <f>"11"</f>
        <v>11</v>
      </c>
      <c r="D324">
        <v>6411</v>
      </c>
      <c r="E324" t="str">
        <f t="shared" ref="E324:E330" si="85">"00"</f>
        <v>00</v>
      </c>
      <c r="F324" t="str">
        <f t="shared" si="81"/>
        <v>999</v>
      </c>
      <c r="G324">
        <v>5</v>
      </c>
      <c r="H324" t="str">
        <f>"11"</f>
        <v>11</v>
      </c>
      <c r="I324" t="str">
        <f t="shared" si="84"/>
        <v>0</v>
      </c>
      <c r="J324" t="str">
        <f t="shared" si="71"/>
        <v>00</v>
      </c>
      <c r="K324">
        <v>20141002</v>
      </c>
      <c r="L324" t="str">
        <f>"014469"</f>
        <v>014469</v>
      </c>
      <c r="M324" t="str">
        <f>"00775"</f>
        <v>00775</v>
      </c>
      <c r="N324" t="s">
        <v>336</v>
      </c>
      <c r="O324">
        <v>35.049999999999997</v>
      </c>
      <c r="Q324" t="s">
        <v>33</v>
      </c>
      <c r="R324" t="s">
        <v>34</v>
      </c>
      <c r="S324" t="s">
        <v>35</v>
      </c>
      <c r="T324" t="s">
        <v>35</v>
      </c>
      <c r="U324" t="s">
        <v>34</v>
      </c>
      <c r="V324" t="str">
        <f>""</f>
        <v/>
      </c>
      <c r="W324">
        <v>20141002</v>
      </c>
      <c r="X324" t="s">
        <v>328</v>
      </c>
      <c r="Y324" t="s">
        <v>327</v>
      </c>
      <c r="Z324" t="s">
        <v>327</v>
      </c>
      <c r="AA324">
        <v>0</v>
      </c>
      <c r="AB324" t="s">
        <v>142</v>
      </c>
      <c r="AC324" t="s">
        <v>143</v>
      </c>
      <c r="AD324" t="s">
        <v>40</v>
      </c>
      <c r="AE324" t="str">
        <f t="shared" si="83"/>
        <v>10</v>
      </c>
      <c r="AF324" t="s">
        <v>40</v>
      </c>
    </row>
    <row r="325" spans="1:32" x14ac:dyDescent="0.25">
      <c r="A325">
        <v>5</v>
      </c>
      <c r="B325">
        <v>420</v>
      </c>
      <c r="C325" t="str">
        <f>"51"</f>
        <v>51</v>
      </c>
      <c r="D325">
        <v>6219</v>
      </c>
      <c r="E325" t="str">
        <f t="shared" si="85"/>
        <v>00</v>
      </c>
      <c r="F325" t="str">
        <f t="shared" si="81"/>
        <v>999</v>
      </c>
      <c r="G325">
        <v>5</v>
      </c>
      <c r="H325" t="str">
        <f>"99"</f>
        <v>99</v>
      </c>
      <c r="I325" t="str">
        <f t="shared" si="84"/>
        <v>0</v>
      </c>
      <c r="J325" t="str">
        <f t="shared" si="71"/>
        <v>00</v>
      </c>
      <c r="K325">
        <v>20141002</v>
      </c>
      <c r="L325" t="str">
        <f>"014470"</f>
        <v>014470</v>
      </c>
      <c r="M325" t="str">
        <f>"00687"</f>
        <v>00687</v>
      </c>
      <c r="N325" t="s">
        <v>337</v>
      </c>
      <c r="O325">
        <v>105</v>
      </c>
      <c r="Q325" t="s">
        <v>33</v>
      </c>
      <c r="R325" t="s">
        <v>34</v>
      </c>
      <c r="S325" t="s">
        <v>35</v>
      </c>
      <c r="T325" t="s">
        <v>35</v>
      </c>
      <c r="U325" t="s">
        <v>34</v>
      </c>
      <c r="V325" t="str">
        <f>""</f>
        <v/>
      </c>
      <c r="W325">
        <v>20141002</v>
      </c>
      <c r="X325" t="s">
        <v>183</v>
      </c>
      <c r="Y325" t="s">
        <v>338</v>
      </c>
      <c r="Z325" t="s">
        <v>338</v>
      </c>
      <c r="AA325">
        <v>0</v>
      </c>
      <c r="AB325" t="s">
        <v>142</v>
      </c>
      <c r="AC325" t="s">
        <v>143</v>
      </c>
      <c r="AD325" t="s">
        <v>40</v>
      </c>
      <c r="AE325" t="str">
        <f t="shared" si="83"/>
        <v>10</v>
      </c>
      <c r="AF325" t="s">
        <v>40</v>
      </c>
    </row>
    <row r="326" spans="1:32" x14ac:dyDescent="0.25">
      <c r="A326">
        <v>5</v>
      </c>
      <c r="B326">
        <v>420</v>
      </c>
      <c r="C326" t="str">
        <f>"51"</f>
        <v>51</v>
      </c>
      <c r="D326">
        <v>6219</v>
      </c>
      <c r="E326" t="str">
        <f t="shared" si="85"/>
        <v>00</v>
      </c>
      <c r="F326" t="str">
        <f t="shared" si="81"/>
        <v>999</v>
      </c>
      <c r="G326">
        <v>5</v>
      </c>
      <c r="H326" t="str">
        <f>"99"</f>
        <v>99</v>
      </c>
      <c r="I326" t="str">
        <f t="shared" si="84"/>
        <v>0</v>
      </c>
      <c r="J326" t="str">
        <f t="shared" si="71"/>
        <v>00</v>
      </c>
      <c r="K326">
        <v>20141002</v>
      </c>
      <c r="L326" t="str">
        <f>"014470"</f>
        <v>014470</v>
      </c>
      <c r="M326" t="str">
        <f>"00687"</f>
        <v>00687</v>
      </c>
      <c r="N326" t="s">
        <v>337</v>
      </c>
      <c r="O326">
        <v>105</v>
      </c>
      <c r="Q326" t="s">
        <v>33</v>
      </c>
      <c r="R326" t="s">
        <v>34</v>
      </c>
      <c r="S326" t="s">
        <v>35</v>
      </c>
      <c r="T326" t="s">
        <v>35</v>
      </c>
      <c r="U326" t="s">
        <v>34</v>
      </c>
      <c r="V326" t="str">
        <f>""</f>
        <v/>
      </c>
      <c r="W326">
        <v>20141002</v>
      </c>
      <c r="X326" t="s">
        <v>183</v>
      </c>
      <c r="Y326" t="s">
        <v>338</v>
      </c>
      <c r="Z326" t="s">
        <v>338</v>
      </c>
      <c r="AA326">
        <v>0</v>
      </c>
      <c r="AB326" t="s">
        <v>142</v>
      </c>
      <c r="AC326" t="s">
        <v>143</v>
      </c>
      <c r="AD326" t="s">
        <v>40</v>
      </c>
      <c r="AE326" t="str">
        <f t="shared" si="83"/>
        <v>10</v>
      </c>
      <c r="AF326" t="s">
        <v>40</v>
      </c>
    </row>
    <row r="327" spans="1:32" x14ac:dyDescent="0.25">
      <c r="A327">
        <v>5</v>
      </c>
      <c r="B327">
        <v>420</v>
      </c>
      <c r="C327" t="str">
        <f>"51"</f>
        <v>51</v>
      </c>
      <c r="D327">
        <v>6219</v>
      </c>
      <c r="E327" t="str">
        <f t="shared" si="85"/>
        <v>00</v>
      </c>
      <c r="F327" t="str">
        <f t="shared" si="81"/>
        <v>999</v>
      </c>
      <c r="G327">
        <v>5</v>
      </c>
      <c r="H327" t="str">
        <f>"99"</f>
        <v>99</v>
      </c>
      <c r="I327" t="str">
        <f t="shared" si="84"/>
        <v>0</v>
      </c>
      <c r="J327" t="str">
        <f t="shared" si="71"/>
        <v>00</v>
      </c>
      <c r="K327">
        <v>20141002</v>
      </c>
      <c r="L327" t="str">
        <f>"014470"</f>
        <v>014470</v>
      </c>
      <c r="M327" t="str">
        <f>"00687"</f>
        <v>00687</v>
      </c>
      <c r="N327" t="s">
        <v>337</v>
      </c>
      <c r="O327">
        <v>105</v>
      </c>
      <c r="Q327" t="s">
        <v>33</v>
      </c>
      <c r="R327" t="s">
        <v>34</v>
      </c>
      <c r="S327" t="s">
        <v>35</v>
      </c>
      <c r="T327" t="s">
        <v>35</v>
      </c>
      <c r="U327" t="s">
        <v>34</v>
      </c>
      <c r="V327" t="str">
        <f>""</f>
        <v/>
      </c>
      <c r="W327">
        <v>20141002</v>
      </c>
      <c r="X327" t="s">
        <v>183</v>
      </c>
      <c r="Y327" t="s">
        <v>338</v>
      </c>
      <c r="Z327" t="s">
        <v>338</v>
      </c>
      <c r="AA327">
        <v>0</v>
      </c>
      <c r="AB327" t="s">
        <v>142</v>
      </c>
      <c r="AC327" t="s">
        <v>143</v>
      </c>
      <c r="AD327" t="s">
        <v>40</v>
      </c>
      <c r="AE327" t="str">
        <f t="shared" si="83"/>
        <v>10</v>
      </c>
      <c r="AF327" t="s">
        <v>40</v>
      </c>
    </row>
    <row r="328" spans="1:32" x14ac:dyDescent="0.25">
      <c r="A328">
        <v>5</v>
      </c>
      <c r="B328">
        <v>420</v>
      </c>
      <c r="C328" t="str">
        <f>"51"</f>
        <v>51</v>
      </c>
      <c r="D328">
        <v>6219</v>
      </c>
      <c r="E328" t="str">
        <f t="shared" si="85"/>
        <v>00</v>
      </c>
      <c r="F328" t="str">
        <f t="shared" si="81"/>
        <v>999</v>
      </c>
      <c r="G328">
        <v>5</v>
      </c>
      <c r="H328" t="str">
        <f>"99"</f>
        <v>99</v>
      </c>
      <c r="I328" t="str">
        <f t="shared" si="84"/>
        <v>0</v>
      </c>
      <c r="J328" t="str">
        <f t="shared" si="71"/>
        <v>00</v>
      </c>
      <c r="K328">
        <v>20141002</v>
      </c>
      <c r="L328" t="str">
        <f>"014470"</f>
        <v>014470</v>
      </c>
      <c r="M328" t="str">
        <f>"00687"</f>
        <v>00687</v>
      </c>
      <c r="N328" t="s">
        <v>337</v>
      </c>
      <c r="O328">
        <v>150</v>
      </c>
      <c r="Q328" t="s">
        <v>33</v>
      </c>
      <c r="R328" t="s">
        <v>34</v>
      </c>
      <c r="S328" t="s">
        <v>35</v>
      </c>
      <c r="T328" t="s">
        <v>35</v>
      </c>
      <c r="U328" t="s">
        <v>34</v>
      </c>
      <c r="V328" t="str">
        <f>""</f>
        <v/>
      </c>
      <c r="W328">
        <v>20141002</v>
      </c>
      <c r="X328" t="s">
        <v>183</v>
      </c>
      <c r="Y328" t="s">
        <v>338</v>
      </c>
      <c r="Z328" t="s">
        <v>338</v>
      </c>
      <c r="AA328">
        <v>0</v>
      </c>
      <c r="AB328" t="s">
        <v>142</v>
      </c>
      <c r="AC328" t="s">
        <v>143</v>
      </c>
      <c r="AD328" t="s">
        <v>40</v>
      </c>
      <c r="AE328" t="str">
        <f t="shared" si="83"/>
        <v>10</v>
      </c>
      <c r="AF328" t="s">
        <v>40</v>
      </c>
    </row>
    <row r="329" spans="1:32" x14ac:dyDescent="0.25">
      <c r="A329">
        <v>5</v>
      </c>
      <c r="B329">
        <v>420</v>
      </c>
      <c r="C329" t="str">
        <f>"51"</f>
        <v>51</v>
      </c>
      <c r="D329">
        <v>6319</v>
      </c>
      <c r="E329" t="str">
        <f t="shared" si="85"/>
        <v>00</v>
      </c>
      <c r="F329" t="str">
        <f t="shared" si="81"/>
        <v>999</v>
      </c>
      <c r="G329">
        <v>5</v>
      </c>
      <c r="H329" t="str">
        <f>"99"</f>
        <v>99</v>
      </c>
      <c r="I329" t="str">
        <f t="shared" si="84"/>
        <v>0</v>
      </c>
      <c r="J329" t="str">
        <f t="shared" si="71"/>
        <v>00</v>
      </c>
      <c r="K329">
        <v>20141002</v>
      </c>
      <c r="L329" t="str">
        <f>"014471"</f>
        <v>014471</v>
      </c>
      <c r="M329" t="str">
        <f>"00756"</f>
        <v>00756</v>
      </c>
      <c r="N329" t="s">
        <v>339</v>
      </c>
      <c r="O329">
        <v>520</v>
      </c>
      <c r="Q329" t="s">
        <v>33</v>
      </c>
      <c r="R329" t="s">
        <v>34</v>
      </c>
      <c r="S329" t="s">
        <v>35</v>
      </c>
      <c r="T329" t="s">
        <v>35</v>
      </c>
      <c r="U329" t="s">
        <v>34</v>
      </c>
      <c r="V329" t="str">
        <f>""</f>
        <v/>
      </c>
      <c r="W329">
        <v>20141002</v>
      </c>
      <c r="X329" t="s">
        <v>185</v>
      </c>
      <c r="Y329" t="s">
        <v>340</v>
      </c>
      <c r="Z329" t="s">
        <v>340</v>
      </c>
      <c r="AA329">
        <v>0</v>
      </c>
      <c r="AB329" t="s">
        <v>142</v>
      </c>
      <c r="AC329" t="s">
        <v>143</v>
      </c>
      <c r="AD329" t="s">
        <v>40</v>
      </c>
      <c r="AE329" t="str">
        <f t="shared" si="83"/>
        <v>10</v>
      </c>
      <c r="AF329" t="s">
        <v>40</v>
      </c>
    </row>
    <row r="330" spans="1:32" x14ac:dyDescent="0.25">
      <c r="A330">
        <v>5</v>
      </c>
      <c r="B330">
        <v>420</v>
      </c>
      <c r="C330" t="str">
        <f>"11"</f>
        <v>11</v>
      </c>
      <c r="D330">
        <v>6269</v>
      </c>
      <c r="E330" t="str">
        <f t="shared" si="85"/>
        <v>00</v>
      </c>
      <c r="F330" t="str">
        <f t="shared" si="81"/>
        <v>999</v>
      </c>
      <c r="G330">
        <v>5</v>
      </c>
      <c r="H330" t="str">
        <f>"11"</f>
        <v>11</v>
      </c>
      <c r="I330" t="str">
        <f t="shared" si="84"/>
        <v>0</v>
      </c>
      <c r="J330" t="str">
        <f t="shared" si="71"/>
        <v>00</v>
      </c>
      <c r="K330">
        <v>20141002</v>
      </c>
      <c r="L330" t="str">
        <f>"014472"</f>
        <v>014472</v>
      </c>
      <c r="M330" t="str">
        <f>"00603"</f>
        <v>00603</v>
      </c>
      <c r="N330" t="s">
        <v>341</v>
      </c>
      <c r="O330">
        <v>302.66000000000003</v>
      </c>
      <c r="Q330" t="s">
        <v>33</v>
      </c>
      <c r="R330" t="s">
        <v>34</v>
      </c>
      <c r="S330" t="s">
        <v>35</v>
      </c>
      <c r="T330" t="s">
        <v>35</v>
      </c>
      <c r="U330" t="s">
        <v>34</v>
      </c>
      <c r="V330" t="str">
        <f>""</f>
        <v/>
      </c>
      <c r="W330">
        <v>20141002</v>
      </c>
      <c r="X330" t="s">
        <v>213</v>
      </c>
      <c r="Y330" t="s">
        <v>342</v>
      </c>
      <c r="Z330" t="s">
        <v>342</v>
      </c>
      <c r="AA330">
        <v>0</v>
      </c>
      <c r="AB330" t="s">
        <v>142</v>
      </c>
      <c r="AC330" t="s">
        <v>143</v>
      </c>
      <c r="AD330" t="s">
        <v>40</v>
      </c>
      <c r="AE330" t="str">
        <f t="shared" si="83"/>
        <v>10</v>
      </c>
      <c r="AF330" t="s">
        <v>40</v>
      </c>
    </row>
    <row r="331" spans="1:32" x14ac:dyDescent="0.25">
      <c r="A331">
        <v>5</v>
      </c>
      <c r="B331">
        <v>420</v>
      </c>
      <c r="C331" t="str">
        <f>"51"</f>
        <v>51</v>
      </c>
      <c r="D331">
        <v>6259</v>
      </c>
      <c r="E331" t="str">
        <f>"53"</f>
        <v>53</v>
      </c>
      <c r="F331" t="str">
        <f t="shared" si="81"/>
        <v>999</v>
      </c>
      <c r="G331">
        <v>5</v>
      </c>
      <c r="H331" t="str">
        <f>"99"</f>
        <v>99</v>
      </c>
      <c r="I331" t="str">
        <f t="shared" si="84"/>
        <v>0</v>
      </c>
      <c r="J331" t="str">
        <f t="shared" si="71"/>
        <v>00</v>
      </c>
      <c r="K331">
        <v>20141002</v>
      </c>
      <c r="L331" t="str">
        <f>"014473"</f>
        <v>014473</v>
      </c>
      <c r="M331" t="str">
        <f>"00726"</f>
        <v>00726</v>
      </c>
      <c r="N331" t="s">
        <v>227</v>
      </c>
      <c r="O331" s="1">
        <v>2558.4899999999998</v>
      </c>
      <c r="Q331" t="s">
        <v>33</v>
      </c>
      <c r="R331" t="s">
        <v>34</v>
      </c>
      <c r="S331" t="s">
        <v>35</v>
      </c>
      <c r="T331" t="s">
        <v>35</v>
      </c>
      <c r="U331" t="s">
        <v>34</v>
      </c>
      <c r="V331" t="str">
        <f>""</f>
        <v/>
      </c>
      <c r="W331">
        <v>20141002</v>
      </c>
      <c r="X331" t="s">
        <v>228</v>
      </c>
      <c r="Y331" t="s">
        <v>229</v>
      </c>
      <c r="Z331" t="s">
        <v>229</v>
      </c>
      <c r="AA331">
        <v>0</v>
      </c>
      <c r="AB331" t="s">
        <v>142</v>
      </c>
      <c r="AC331" t="s">
        <v>143</v>
      </c>
      <c r="AD331" t="s">
        <v>40</v>
      </c>
      <c r="AE331" t="str">
        <f t="shared" si="83"/>
        <v>10</v>
      </c>
      <c r="AF331" t="s">
        <v>40</v>
      </c>
    </row>
    <row r="332" spans="1:32" x14ac:dyDescent="0.25">
      <c r="A332">
        <v>5</v>
      </c>
      <c r="B332">
        <v>420</v>
      </c>
      <c r="C332" t="str">
        <f>"51"</f>
        <v>51</v>
      </c>
      <c r="D332">
        <v>6259</v>
      </c>
      <c r="E332" t="str">
        <f>"53"</f>
        <v>53</v>
      </c>
      <c r="F332" t="str">
        <f t="shared" si="81"/>
        <v>999</v>
      </c>
      <c r="G332">
        <v>5</v>
      </c>
      <c r="H332" t="str">
        <f>"99"</f>
        <v>99</v>
      </c>
      <c r="I332" t="str">
        <f t="shared" si="84"/>
        <v>0</v>
      </c>
      <c r="J332" t="str">
        <f t="shared" si="71"/>
        <v>00</v>
      </c>
      <c r="K332">
        <v>20141002</v>
      </c>
      <c r="L332" t="str">
        <f>"014473"</f>
        <v>014473</v>
      </c>
      <c r="M332" t="str">
        <f>"00726"</f>
        <v>00726</v>
      </c>
      <c r="N332" t="s">
        <v>227</v>
      </c>
      <c r="O332">
        <v>719.29</v>
      </c>
      <c r="Q332" t="s">
        <v>33</v>
      </c>
      <c r="R332" t="s">
        <v>34</v>
      </c>
      <c r="S332" t="s">
        <v>35</v>
      </c>
      <c r="T332" t="s">
        <v>35</v>
      </c>
      <c r="U332" t="s">
        <v>34</v>
      </c>
      <c r="V332" t="str">
        <f>""</f>
        <v/>
      </c>
      <c r="W332">
        <v>20141002</v>
      </c>
      <c r="X332" t="s">
        <v>228</v>
      </c>
      <c r="Y332" t="s">
        <v>229</v>
      </c>
      <c r="Z332" t="s">
        <v>229</v>
      </c>
      <c r="AA332">
        <v>0</v>
      </c>
      <c r="AB332" t="s">
        <v>142</v>
      </c>
      <c r="AC332" t="s">
        <v>143</v>
      </c>
      <c r="AD332" t="s">
        <v>40</v>
      </c>
      <c r="AE332" t="str">
        <f t="shared" si="83"/>
        <v>10</v>
      </c>
      <c r="AF332" t="s">
        <v>40</v>
      </c>
    </row>
    <row r="333" spans="1:32" x14ac:dyDescent="0.25">
      <c r="A333">
        <v>5</v>
      </c>
      <c r="B333">
        <v>420</v>
      </c>
      <c r="C333" t="str">
        <f>"51"</f>
        <v>51</v>
      </c>
      <c r="D333">
        <v>6259</v>
      </c>
      <c r="E333" t="str">
        <f>"53"</f>
        <v>53</v>
      </c>
      <c r="F333" t="str">
        <f t="shared" si="81"/>
        <v>999</v>
      </c>
      <c r="G333">
        <v>5</v>
      </c>
      <c r="H333" t="str">
        <f>"99"</f>
        <v>99</v>
      </c>
      <c r="I333" t="str">
        <f t="shared" si="84"/>
        <v>0</v>
      </c>
      <c r="J333" t="str">
        <f t="shared" si="71"/>
        <v>00</v>
      </c>
      <c r="K333">
        <v>20141002</v>
      </c>
      <c r="L333" t="str">
        <f>"014473"</f>
        <v>014473</v>
      </c>
      <c r="M333" t="str">
        <f>"00726"</f>
        <v>00726</v>
      </c>
      <c r="N333" t="s">
        <v>227</v>
      </c>
      <c r="O333" s="1">
        <v>1127.08</v>
      </c>
      <c r="Q333" t="s">
        <v>33</v>
      </c>
      <c r="R333" t="s">
        <v>34</v>
      </c>
      <c r="S333" t="s">
        <v>35</v>
      </c>
      <c r="T333" t="s">
        <v>35</v>
      </c>
      <c r="U333" t="s">
        <v>34</v>
      </c>
      <c r="V333" t="str">
        <f>""</f>
        <v/>
      </c>
      <c r="W333">
        <v>20141002</v>
      </c>
      <c r="X333" t="s">
        <v>228</v>
      </c>
      <c r="Y333" t="s">
        <v>229</v>
      </c>
      <c r="Z333" t="s">
        <v>229</v>
      </c>
      <c r="AA333">
        <v>0</v>
      </c>
      <c r="AB333" t="s">
        <v>142</v>
      </c>
      <c r="AC333" t="s">
        <v>143</v>
      </c>
      <c r="AD333" t="s">
        <v>40</v>
      </c>
      <c r="AE333" t="str">
        <f t="shared" si="83"/>
        <v>10</v>
      </c>
      <c r="AF333" t="s">
        <v>40</v>
      </c>
    </row>
    <row r="334" spans="1:32" x14ac:dyDescent="0.25">
      <c r="A334">
        <v>5</v>
      </c>
      <c r="B334">
        <v>420</v>
      </c>
      <c r="C334" t="str">
        <f>"51"</f>
        <v>51</v>
      </c>
      <c r="D334">
        <v>6259</v>
      </c>
      <c r="E334" t="str">
        <f>"53"</f>
        <v>53</v>
      </c>
      <c r="F334" t="str">
        <f t="shared" si="81"/>
        <v>999</v>
      </c>
      <c r="G334">
        <v>5</v>
      </c>
      <c r="H334" t="str">
        <f>"99"</f>
        <v>99</v>
      </c>
      <c r="I334" t="str">
        <f t="shared" si="84"/>
        <v>0</v>
      </c>
      <c r="J334" t="str">
        <f t="shared" si="71"/>
        <v>00</v>
      </c>
      <c r="K334">
        <v>20141002</v>
      </c>
      <c r="L334" t="str">
        <f>"014473"</f>
        <v>014473</v>
      </c>
      <c r="M334" t="str">
        <f>"00726"</f>
        <v>00726</v>
      </c>
      <c r="N334" t="s">
        <v>227</v>
      </c>
      <c r="O334" s="1">
        <v>2626.33</v>
      </c>
      <c r="Q334" t="s">
        <v>33</v>
      </c>
      <c r="R334" t="s">
        <v>34</v>
      </c>
      <c r="S334" t="s">
        <v>35</v>
      </c>
      <c r="T334" t="s">
        <v>35</v>
      </c>
      <c r="U334" t="s">
        <v>34</v>
      </c>
      <c r="V334" t="str">
        <f>""</f>
        <v/>
      </c>
      <c r="W334">
        <v>20141002</v>
      </c>
      <c r="X334" t="s">
        <v>228</v>
      </c>
      <c r="Y334" t="s">
        <v>229</v>
      </c>
      <c r="Z334" t="s">
        <v>229</v>
      </c>
      <c r="AA334">
        <v>0</v>
      </c>
      <c r="AB334" t="s">
        <v>142</v>
      </c>
      <c r="AC334" t="s">
        <v>143</v>
      </c>
      <c r="AD334" t="s">
        <v>40</v>
      </c>
      <c r="AE334" t="str">
        <f t="shared" si="83"/>
        <v>10</v>
      </c>
      <c r="AF334" t="s">
        <v>40</v>
      </c>
    </row>
    <row r="335" spans="1:32" x14ac:dyDescent="0.25">
      <c r="A335">
        <v>5</v>
      </c>
      <c r="B335">
        <v>211</v>
      </c>
      <c r="C335" t="str">
        <f>"11"</f>
        <v>11</v>
      </c>
      <c r="D335">
        <v>6219</v>
      </c>
      <c r="E335" t="str">
        <f t="shared" ref="E335:E341" si="86">"00"</f>
        <v>00</v>
      </c>
      <c r="F335" t="str">
        <f>"001"</f>
        <v>001</v>
      </c>
      <c r="G335">
        <v>5</v>
      </c>
      <c r="H335" t="str">
        <f>"30"</f>
        <v>30</v>
      </c>
      <c r="I335" t="str">
        <f t="shared" si="84"/>
        <v>0</v>
      </c>
      <c r="J335" t="str">
        <f t="shared" si="71"/>
        <v>00</v>
      </c>
      <c r="K335">
        <v>20141002</v>
      </c>
      <c r="L335" t="str">
        <f>"014474"</f>
        <v>014474</v>
      </c>
      <c r="M335" t="str">
        <f>"00774"</f>
        <v>00774</v>
      </c>
      <c r="N335" t="s">
        <v>127</v>
      </c>
      <c r="O335">
        <v>276</v>
      </c>
      <c r="Q335" t="s">
        <v>33</v>
      </c>
      <c r="R335" t="s">
        <v>34</v>
      </c>
      <c r="S335" t="s">
        <v>35</v>
      </c>
      <c r="T335" t="s">
        <v>35</v>
      </c>
      <c r="U335" t="s">
        <v>34</v>
      </c>
      <c r="V335" t="str">
        <f>""</f>
        <v/>
      </c>
      <c r="W335">
        <v>20141002</v>
      </c>
      <c r="X335" t="s">
        <v>173</v>
      </c>
      <c r="Y335" t="s">
        <v>327</v>
      </c>
      <c r="Z335" t="s">
        <v>327</v>
      </c>
      <c r="AA335">
        <v>0</v>
      </c>
      <c r="AB335" t="s">
        <v>174</v>
      </c>
      <c r="AC335" t="s">
        <v>41</v>
      </c>
      <c r="AD335" t="s">
        <v>40</v>
      </c>
      <c r="AE335" t="str">
        <f t="shared" si="83"/>
        <v>10</v>
      </c>
      <c r="AF335" t="s">
        <v>40</v>
      </c>
    </row>
    <row r="336" spans="1:32" x14ac:dyDescent="0.25">
      <c r="A336">
        <v>5</v>
      </c>
      <c r="B336">
        <v>420</v>
      </c>
      <c r="C336" t="str">
        <f>"11"</f>
        <v>11</v>
      </c>
      <c r="D336">
        <v>6411</v>
      </c>
      <c r="E336" t="str">
        <f t="shared" si="86"/>
        <v>00</v>
      </c>
      <c r="F336" t="str">
        <f>"999"</f>
        <v>999</v>
      </c>
      <c r="G336">
        <v>5</v>
      </c>
      <c r="H336" t="str">
        <f>"11"</f>
        <v>11</v>
      </c>
      <c r="I336" t="str">
        <f t="shared" si="84"/>
        <v>0</v>
      </c>
      <c r="J336" t="str">
        <f t="shared" si="71"/>
        <v>00</v>
      </c>
      <c r="K336">
        <v>20141002</v>
      </c>
      <c r="L336" t="str">
        <f>"014474"</f>
        <v>014474</v>
      </c>
      <c r="M336" t="str">
        <f>"00774"</f>
        <v>00774</v>
      </c>
      <c r="N336" t="s">
        <v>127</v>
      </c>
      <c r="O336">
        <v>46.24</v>
      </c>
      <c r="Q336" t="s">
        <v>33</v>
      </c>
      <c r="R336" t="s">
        <v>34</v>
      </c>
      <c r="S336" t="s">
        <v>35</v>
      </c>
      <c r="T336" t="s">
        <v>35</v>
      </c>
      <c r="U336" t="s">
        <v>34</v>
      </c>
      <c r="V336" t="str">
        <f>""</f>
        <v/>
      </c>
      <c r="W336">
        <v>20141002</v>
      </c>
      <c r="X336" t="s">
        <v>328</v>
      </c>
      <c r="Y336" t="s">
        <v>327</v>
      </c>
      <c r="Z336" t="s">
        <v>327</v>
      </c>
      <c r="AA336">
        <v>0</v>
      </c>
      <c r="AB336" t="s">
        <v>142</v>
      </c>
      <c r="AC336" t="s">
        <v>143</v>
      </c>
      <c r="AD336" t="s">
        <v>40</v>
      </c>
      <c r="AE336" t="str">
        <f t="shared" si="83"/>
        <v>10</v>
      </c>
      <c r="AF336" t="s">
        <v>40</v>
      </c>
    </row>
    <row r="337" spans="1:32" x14ac:dyDescent="0.25">
      <c r="A337">
        <v>5</v>
      </c>
      <c r="B337">
        <v>420</v>
      </c>
      <c r="C337" t="str">
        <f>"52"</f>
        <v>52</v>
      </c>
      <c r="D337">
        <v>6219</v>
      </c>
      <c r="E337" t="str">
        <f t="shared" si="86"/>
        <v>00</v>
      </c>
      <c r="F337" t="str">
        <f>"999"</f>
        <v>999</v>
      </c>
      <c r="G337">
        <v>5</v>
      </c>
      <c r="H337" t="str">
        <f t="shared" ref="H337:H344" si="87">"99"</f>
        <v>99</v>
      </c>
      <c r="I337" t="str">
        <f t="shared" si="84"/>
        <v>0</v>
      </c>
      <c r="J337" t="str">
        <f t="shared" si="71"/>
        <v>00</v>
      </c>
      <c r="K337">
        <v>20141002</v>
      </c>
      <c r="L337" t="str">
        <f>"014475"</f>
        <v>014475</v>
      </c>
      <c r="M337" t="str">
        <f>"00587"</f>
        <v>00587</v>
      </c>
      <c r="N337" t="s">
        <v>343</v>
      </c>
      <c r="O337">
        <v>47.45</v>
      </c>
      <c r="Q337" t="s">
        <v>33</v>
      </c>
      <c r="R337" t="s">
        <v>34</v>
      </c>
      <c r="S337" t="s">
        <v>35</v>
      </c>
      <c r="T337" t="s">
        <v>35</v>
      </c>
      <c r="U337" t="s">
        <v>34</v>
      </c>
      <c r="V337" t="str">
        <f>""</f>
        <v/>
      </c>
      <c r="W337">
        <v>20141002</v>
      </c>
      <c r="X337" t="s">
        <v>208</v>
      </c>
      <c r="Y337" t="s">
        <v>344</v>
      </c>
      <c r="Z337" t="s">
        <v>344</v>
      </c>
      <c r="AA337">
        <v>0</v>
      </c>
      <c r="AB337" t="s">
        <v>142</v>
      </c>
      <c r="AC337" t="s">
        <v>143</v>
      </c>
      <c r="AD337" t="s">
        <v>40</v>
      </c>
      <c r="AE337" t="str">
        <f t="shared" si="83"/>
        <v>10</v>
      </c>
      <c r="AF337" t="s">
        <v>40</v>
      </c>
    </row>
    <row r="338" spans="1:32" x14ac:dyDescent="0.25">
      <c r="A338">
        <v>5</v>
      </c>
      <c r="B338">
        <v>420</v>
      </c>
      <c r="C338" t="str">
        <f>"51"</f>
        <v>51</v>
      </c>
      <c r="D338">
        <v>6319</v>
      </c>
      <c r="E338" t="str">
        <f t="shared" si="86"/>
        <v>00</v>
      </c>
      <c r="F338" t="str">
        <f>"999"</f>
        <v>999</v>
      </c>
      <c r="G338">
        <v>5</v>
      </c>
      <c r="H338" t="str">
        <f t="shared" si="87"/>
        <v>99</v>
      </c>
      <c r="I338" t="str">
        <f t="shared" si="84"/>
        <v>0</v>
      </c>
      <c r="J338" t="str">
        <f t="shared" si="71"/>
        <v>00</v>
      </c>
      <c r="K338">
        <v>20141002</v>
      </c>
      <c r="L338" t="str">
        <f>"014476"</f>
        <v>014476</v>
      </c>
      <c r="M338" t="str">
        <f>"00248"</f>
        <v>00248</v>
      </c>
      <c r="N338" t="s">
        <v>345</v>
      </c>
      <c r="O338">
        <v>130.32</v>
      </c>
      <c r="Q338" t="s">
        <v>33</v>
      </c>
      <c r="R338" t="s">
        <v>34</v>
      </c>
      <c r="S338" t="s">
        <v>35</v>
      </c>
      <c r="T338" t="s">
        <v>35</v>
      </c>
      <c r="U338" t="s">
        <v>34</v>
      </c>
      <c r="V338" t="str">
        <f>""</f>
        <v/>
      </c>
      <c r="W338">
        <v>20141002</v>
      </c>
      <c r="X338" t="s">
        <v>185</v>
      </c>
      <c r="Y338" t="s">
        <v>346</v>
      </c>
      <c r="Z338" t="s">
        <v>346</v>
      </c>
      <c r="AA338">
        <v>0</v>
      </c>
      <c r="AB338" t="s">
        <v>142</v>
      </c>
      <c r="AC338" t="s">
        <v>143</v>
      </c>
      <c r="AD338" t="s">
        <v>40</v>
      </c>
      <c r="AE338" t="str">
        <f t="shared" si="83"/>
        <v>10</v>
      </c>
      <c r="AF338" t="s">
        <v>40</v>
      </c>
    </row>
    <row r="339" spans="1:32" x14ac:dyDescent="0.25">
      <c r="A339">
        <v>5</v>
      </c>
      <c r="B339">
        <v>420</v>
      </c>
      <c r="C339" t="str">
        <f>"51"</f>
        <v>51</v>
      </c>
      <c r="D339">
        <v>6319</v>
      </c>
      <c r="E339" t="str">
        <f t="shared" si="86"/>
        <v>00</v>
      </c>
      <c r="F339" t="str">
        <f>"999"</f>
        <v>999</v>
      </c>
      <c r="G339">
        <v>5</v>
      </c>
      <c r="H339" t="str">
        <f t="shared" si="87"/>
        <v>99</v>
      </c>
      <c r="I339" t="str">
        <f t="shared" si="84"/>
        <v>0</v>
      </c>
      <c r="J339" t="str">
        <f t="shared" si="71"/>
        <v>00</v>
      </c>
      <c r="K339">
        <v>20141002</v>
      </c>
      <c r="L339" t="str">
        <f>"014476"</f>
        <v>014476</v>
      </c>
      <c r="M339" t="str">
        <f>"00248"</f>
        <v>00248</v>
      </c>
      <c r="N339" t="s">
        <v>345</v>
      </c>
      <c r="O339">
        <v>86.88</v>
      </c>
      <c r="Q339" t="s">
        <v>33</v>
      </c>
      <c r="R339" t="s">
        <v>34</v>
      </c>
      <c r="S339" t="s">
        <v>35</v>
      </c>
      <c r="T339" t="s">
        <v>35</v>
      </c>
      <c r="U339" t="s">
        <v>34</v>
      </c>
      <c r="V339" t="str">
        <f>""</f>
        <v/>
      </c>
      <c r="W339">
        <v>20141002</v>
      </c>
      <c r="X339" t="s">
        <v>185</v>
      </c>
      <c r="Y339" t="s">
        <v>346</v>
      </c>
      <c r="Z339" t="s">
        <v>346</v>
      </c>
      <c r="AA339">
        <v>0</v>
      </c>
      <c r="AB339" t="s">
        <v>142</v>
      </c>
      <c r="AC339" t="s">
        <v>143</v>
      </c>
      <c r="AD339" t="s">
        <v>40</v>
      </c>
      <c r="AE339" t="str">
        <f t="shared" si="83"/>
        <v>10</v>
      </c>
      <c r="AF339" t="s">
        <v>40</v>
      </c>
    </row>
    <row r="340" spans="1:32" x14ac:dyDescent="0.25">
      <c r="A340">
        <v>5</v>
      </c>
      <c r="B340">
        <v>420</v>
      </c>
      <c r="C340" t="str">
        <f>"51"</f>
        <v>51</v>
      </c>
      <c r="D340">
        <v>6319</v>
      </c>
      <c r="E340" t="str">
        <f t="shared" si="86"/>
        <v>00</v>
      </c>
      <c r="F340" t="str">
        <f>"999"</f>
        <v>999</v>
      </c>
      <c r="G340">
        <v>5</v>
      </c>
      <c r="H340" t="str">
        <f t="shared" si="87"/>
        <v>99</v>
      </c>
      <c r="I340" t="str">
        <f t="shared" si="84"/>
        <v>0</v>
      </c>
      <c r="J340" t="str">
        <f t="shared" si="71"/>
        <v>00</v>
      </c>
      <c r="K340">
        <v>20141002</v>
      </c>
      <c r="L340" t="str">
        <f>"014476"</f>
        <v>014476</v>
      </c>
      <c r="M340" t="str">
        <f>"00248"</f>
        <v>00248</v>
      </c>
      <c r="N340" t="s">
        <v>345</v>
      </c>
      <c r="O340" s="1">
        <v>2218.1799999999998</v>
      </c>
      <c r="Q340" t="s">
        <v>33</v>
      </c>
      <c r="R340" t="s">
        <v>34</v>
      </c>
      <c r="S340" t="s">
        <v>35</v>
      </c>
      <c r="T340" t="s">
        <v>35</v>
      </c>
      <c r="U340" t="s">
        <v>34</v>
      </c>
      <c r="V340" t="str">
        <f>""</f>
        <v/>
      </c>
      <c r="W340">
        <v>20141002</v>
      </c>
      <c r="X340" t="s">
        <v>185</v>
      </c>
      <c r="Y340" t="s">
        <v>346</v>
      </c>
      <c r="Z340" t="s">
        <v>346</v>
      </c>
      <c r="AA340">
        <v>0</v>
      </c>
      <c r="AB340" t="s">
        <v>142</v>
      </c>
      <c r="AC340" t="s">
        <v>143</v>
      </c>
      <c r="AD340" t="s">
        <v>40</v>
      </c>
      <c r="AE340" t="str">
        <f t="shared" si="83"/>
        <v>10</v>
      </c>
      <c r="AF340" t="s">
        <v>40</v>
      </c>
    </row>
    <row r="341" spans="1:32" x14ac:dyDescent="0.25">
      <c r="A341">
        <v>5</v>
      </c>
      <c r="B341">
        <v>420</v>
      </c>
      <c r="C341" t="str">
        <f>"41"</f>
        <v>41</v>
      </c>
      <c r="D341">
        <v>6499</v>
      </c>
      <c r="E341" t="str">
        <f t="shared" si="86"/>
        <v>00</v>
      </c>
      <c r="F341" t="str">
        <f>"750"</f>
        <v>750</v>
      </c>
      <c r="G341">
        <v>5</v>
      </c>
      <c r="H341" t="str">
        <f t="shared" si="87"/>
        <v>99</v>
      </c>
      <c r="I341" t="str">
        <f t="shared" si="84"/>
        <v>0</v>
      </c>
      <c r="J341" t="str">
        <f t="shared" si="71"/>
        <v>00</v>
      </c>
      <c r="K341">
        <v>20141002</v>
      </c>
      <c r="L341" t="str">
        <f>"014477"</f>
        <v>014477</v>
      </c>
      <c r="M341" t="str">
        <f>"00762"</f>
        <v>00762</v>
      </c>
      <c r="N341" t="s">
        <v>52</v>
      </c>
      <c r="O341">
        <v>19.23</v>
      </c>
      <c r="Q341" t="s">
        <v>33</v>
      </c>
      <c r="R341" t="s">
        <v>34</v>
      </c>
      <c r="S341" t="s">
        <v>35</v>
      </c>
      <c r="T341" t="s">
        <v>35</v>
      </c>
      <c r="U341" t="s">
        <v>34</v>
      </c>
      <c r="V341" t="str">
        <f>""</f>
        <v/>
      </c>
      <c r="W341">
        <v>20141002</v>
      </c>
      <c r="X341" t="s">
        <v>168</v>
      </c>
      <c r="Y341" t="s">
        <v>347</v>
      </c>
      <c r="Z341" t="s">
        <v>347</v>
      </c>
      <c r="AA341">
        <v>0</v>
      </c>
      <c r="AB341" t="s">
        <v>142</v>
      </c>
      <c r="AC341" t="s">
        <v>170</v>
      </c>
      <c r="AD341" t="s">
        <v>40</v>
      </c>
      <c r="AE341" t="str">
        <f t="shared" si="83"/>
        <v>10</v>
      </c>
      <c r="AF341" t="s">
        <v>40</v>
      </c>
    </row>
    <row r="342" spans="1:32" x14ac:dyDescent="0.25">
      <c r="A342">
        <v>5</v>
      </c>
      <c r="B342">
        <v>420</v>
      </c>
      <c r="C342" t="str">
        <f>"51"</f>
        <v>51</v>
      </c>
      <c r="D342">
        <v>6259</v>
      </c>
      <c r="E342" t="str">
        <f>"55"</f>
        <v>55</v>
      </c>
      <c r="F342" t="str">
        <f>"999"</f>
        <v>999</v>
      </c>
      <c r="G342">
        <v>5</v>
      </c>
      <c r="H342" t="str">
        <f t="shared" si="87"/>
        <v>99</v>
      </c>
      <c r="I342" t="str">
        <f t="shared" si="84"/>
        <v>0</v>
      </c>
      <c r="J342" t="str">
        <f t="shared" si="71"/>
        <v>00</v>
      </c>
      <c r="K342">
        <v>20141002</v>
      </c>
      <c r="L342" t="str">
        <f>"014478"</f>
        <v>014478</v>
      </c>
      <c r="M342" t="str">
        <f>"00306"</f>
        <v>00306</v>
      </c>
      <c r="N342" t="s">
        <v>245</v>
      </c>
      <c r="O342">
        <v>275.02</v>
      </c>
      <c r="Q342" t="s">
        <v>33</v>
      </c>
      <c r="R342" t="s">
        <v>34</v>
      </c>
      <c r="S342" t="s">
        <v>35</v>
      </c>
      <c r="T342" t="s">
        <v>35</v>
      </c>
      <c r="U342" t="s">
        <v>34</v>
      </c>
      <c r="V342" t="str">
        <f>""</f>
        <v/>
      </c>
      <c r="W342">
        <v>20141002</v>
      </c>
      <c r="X342" t="s">
        <v>243</v>
      </c>
      <c r="Y342" t="s">
        <v>244</v>
      </c>
      <c r="Z342" t="s">
        <v>244</v>
      </c>
      <c r="AA342">
        <v>0</v>
      </c>
      <c r="AB342" t="s">
        <v>142</v>
      </c>
      <c r="AC342" t="s">
        <v>143</v>
      </c>
      <c r="AD342" t="s">
        <v>40</v>
      </c>
      <c r="AE342" t="str">
        <f t="shared" si="83"/>
        <v>10</v>
      </c>
      <c r="AF342" t="s">
        <v>40</v>
      </c>
    </row>
    <row r="343" spans="1:32" x14ac:dyDescent="0.25">
      <c r="A343">
        <v>5</v>
      </c>
      <c r="B343">
        <v>420</v>
      </c>
      <c r="C343" t="str">
        <f>"51"</f>
        <v>51</v>
      </c>
      <c r="D343">
        <v>6259</v>
      </c>
      <c r="E343" t="str">
        <f>"55"</f>
        <v>55</v>
      </c>
      <c r="F343" t="str">
        <f>"999"</f>
        <v>999</v>
      </c>
      <c r="G343">
        <v>5</v>
      </c>
      <c r="H343" t="str">
        <f t="shared" si="87"/>
        <v>99</v>
      </c>
      <c r="I343" t="str">
        <f t="shared" si="84"/>
        <v>0</v>
      </c>
      <c r="J343" t="str">
        <f t="shared" si="71"/>
        <v>00</v>
      </c>
      <c r="K343">
        <v>20141002</v>
      </c>
      <c r="L343" t="str">
        <f>"014478"</f>
        <v>014478</v>
      </c>
      <c r="M343" t="str">
        <f>"00306"</f>
        <v>00306</v>
      </c>
      <c r="N343" t="s">
        <v>245</v>
      </c>
      <c r="O343">
        <v>63.22</v>
      </c>
      <c r="Q343" t="s">
        <v>33</v>
      </c>
      <c r="R343" t="s">
        <v>34</v>
      </c>
      <c r="S343" t="s">
        <v>35</v>
      </c>
      <c r="T343" t="s">
        <v>35</v>
      </c>
      <c r="U343" t="s">
        <v>34</v>
      </c>
      <c r="V343" t="str">
        <f>""</f>
        <v/>
      </c>
      <c r="W343">
        <v>20141002</v>
      </c>
      <c r="X343" t="s">
        <v>243</v>
      </c>
      <c r="Y343" t="s">
        <v>244</v>
      </c>
      <c r="Z343" t="s">
        <v>244</v>
      </c>
      <c r="AA343">
        <v>0</v>
      </c>
      <c r="AB343" t="s">
        <v>142</v>
      </c>
      <c r="AC343" t="s">
        <v>143</v>
      </c>
      <c r="AD343" t="s">
        <v>40</v>
      </c>
      <c r="AE343" t="str">
        <f t="shared" si="83"/>
        <v>10</v>
      </c>
      <c r="AF343" t="s">
        <v>40</v>
      </c>
    </row>
    <row r="344" spans="1:32" x14ac:dyDescent="0.25">
      <c r="A344">
        <v>5</v>
      </c>
      <c r="B344">
        <v>420</v>
      </c>
      <c r="C344" t="str">
        <f>"51"</f>
        <v>51</v>
      </c>
      <c r="D344">
        <v>6259</v>
      </c>
      <c r="E344" t="str">
        <f>"55"</f>
        <v>55</v>
      </c>
      <c r="F344" t="str">
        <f>"999"</f>
        <v>999</v>
      </c>
      <c r="G344">
        <v>5</v>
      </c>
      <c r="H344" t="str">
        <f t="shared" si="87"/>
        <v>99</v>
      </c>
      <c r="I344" t="str">
        <f t="shared" si="84"/>
        <v>0</v>
      </c>
      <c r="J344" t="str">
        <f t="shared" si="71"/>
        <v>00</v>
      </c>
      <c r="K344">
        <v>20141002</v>
      </c>
      <c r="L344" t="str">
        <f>"014478"</f>
        <v>014478</v>
      </c>
      <c r="M344" t="str">
        <f>"00306"</f>
        <v>00306</v>
      </c>
      <c r="N344" t="s">
        <v>245</v>
      </c>
      <c r="O344">
        <v>261.36</v>
      </c>
      <c r="Q344" t="s">
        <v>33</v>
      </c>
      <c r="R344" t="s">
        <v>34</v>
      </c>
      <c r="S344" t="s">
        <v>35</v>
      </c>
      <c r="T344" t="s">
        <v>35</v>
      </c>
      <c r="U344" t="s">
        <v>34</v>
      </c>
      <c r="V344" t="str">
        <f>""</f>
        <v/>
      </c>
      <c r="W344">
        <v>20141002</v>
      </c>
      <c r="X344" t="s">
        <v>243</v>
      </c>
      <c r="Y344" t="s">
        <v>244</v>
      </c>
      <c r="Z344" t="s">
        <v>244</v>
      </c>
      <c r="AA344">
        <v>0</v>
      </c>
      <c r="AB344" t="s">
        <v>142</v>
      </c>
      <c r="AC344" t="s">
        <v>143</v>
      </c>
      <c r="AD344" t="s">
        <v>40</v>
      </c>
      <c r="AE344" t="str">
        <f t="shared" si="83"/>
        <v>10</v>
      </c>
      <c r="AF344" t="s">
        <v>40</v>
      </c>
    </row>
    <row r="345" spans="1:32" x14ac:dyDescent="0.25">
      <c r="A345">
        <v>5</v>
      </c>
      <c r="B345">
        <v>420</v>
      </c>
      <c r="C345" t="str">
        <f>"36"</f>
        <v>36</v>
      </c>
      <c r="D345">
        <v>6499</v>
      </c>
      <c r="E345" t="str">
        <f t="shared" ref="E345:E372" si="88">"00"</f>
        <v>00</v>
      </c>
      <c r="F345" t="str">
        <f>"001"</f>
        <v>001</v>
      </c>
      <c r="G345">
        <v>5</v>
      </c>
      <c r="H345" t="str">
        <f>"91"</f>
        <v>91</v>
      </c>
      <c r="I345" t="str">
        <f t="shared" si="84"/>
        <v>0</v>
      </c>
      <c r="J345" t="str">
        <f t="shared" ref="J345:J408" si="89">"00"</f>
        <v>00</v>
      </c>
      <c r="K345">
        <v>20141002</v>
      </c>
      <c r="L345" t="str">
        <f>"014479"</f>
        <v>014479</v>
      </c>
      <c r="M345" t="str">
        <f>"00693"</f>
        <v>00693</v>
      </c>
      <c r="N345" t="s">
        <v>348</v>
      </c>
      <c r="O345">
        <v>175</v>
      </c>
      <c r="Q345" t="s">
        <v>33</v>
      </c>
      <c r="R345" t="s">
        <v>34</v>
      </c>
      <c r="S345" t="s">
        <v>35</v>
      </c>
      <c r="T345" t="s">
        <v>35</v>
      </c>
      <c r="U345" t="s">
        <v>34</v>
      </c>
      <c r="V345" t="str">
        <f>""</f>
        <v/>
      </c>
      <c r="W345">
        <v>20141002</v>
      </c>
      <c r="X345" t="s">
        <v>275</v>
      </c>
      <c r="Y345" t="s">
        <v>349</v>
      </c>
      <c r="Z345" t="s">
        <v>349</v>
      </c>
      <c r="AA345">
        <v>0</v>
      </c>
      <c r="AB345" t="s">
        <v>142</v>
      </c>
      <c r="AC345" t="s">
        <v>41</v>
      </c>
      <c r="AD345" t="s">
        <v>40</v>
      </c>
      <c r="AE345" t="str">
        <f t="shared" si="83"/>
        <v>10</v>
      </c>
      <c r="AF345" t="s">
        <v>40</v>
      </c>
    </row>
    <row r="346" spans="1:32" x14ac:dyDescent="0.25">
      <c r="A346">
        <v>5</v>
      </c>
      <c r="B346">
        <v>240</v>
      </c>
      <c r="C346" t="str">
        <f>"35"</f>
        <v>35</v>
      </c>
      <c r="D346">
        <v>6341</v>
      </c>
      <c r="E346" t="str">
        <f t="shared" si="88"/>
        <v>00</v>
      </c>
      <c r="F346" t="str">
        <f t="shared" ref="F346:F356" si="90">"999"</f>
        <v>999</v>
      </c>
      <c r="G346">
        <v>5</v>
      </c>
      <c r="H346" t="str">
        <f t="shared" ref="H346:H351" si="91">"99"</f>
        <v>99</v>
      </c>
      <c r="I346" t="str">
        <f t="shared" si="84"/>
        <v>0</v>
      </c>
      <c r="J346" t="str">
        <f t="shared" si="89"/>
        <v>00</v>
      </c>
      <c r="K346">
        <v>20141002</v>
      </c>
      <c r="L346" t="str">
        <f t="shared" ref="L346:L351" si="92">"014480"</f>
        <v>014480</v>
      </c>
      <c r="M346" t="str">
        <f t="shared" ref="M346:M351" si="93">"00391"</f>
        <v>00391</v>
      </c>
      <c r="N346" t="s">
        <v>265</v>
      </c>
      <c r="O346">
        <v>41.38</v>
      </c>
      <c r="Q346" t="s">
        <v>33</v>
      </c>
      <c r="R346" t="s">
        <v>34</v>
      </c>
      <c r="S346" t="s">
        <v>35</v>
      </c>
      <c r="T346" t="s">
        <v>35</v>
      </c>
      <c r="U346" t="s">
        <v>34</v>
      </c>
      <c r="V346" t="str">
        <f>""</f>
        <v/>
      </c>
      <c r="W346">
        <v>20141002</v>
      </c>
      <c r="X346" t="s">
        <v>268</v>
      </c>
      <c r="Y346" t="s">
        <v>266</v>
      </c>
      <c r="Z346" t="s">
        <v>266</v>
      </c>
      <c r="AA346">
        <v>0</v>
      </c>
      <c r="AB346" t="s">
        <v>238</v>
      </c>
      <c r="AC346" t="s">
        <v>143</v>
      </c>
      <c r="AD346" t="s">
        <v>40</v>
      </c>
      <c r="AE346" t="str">
        <f t="shared" si="83"/>
        <v>10</v>
      </c>
      <c r="AF346" t="s">
        <v>40</v>
      </c>
    </row>
    <row r="347" spans="1:32" x14ac:dyDescent="0.25">
      <c r="A347">
        <v>5</v>
      </c>
      <c r="B347">
        <v>240</v>
      </c>
      <c r="C347" t="str">
        <f>"35"</f>
        <v>35</v>
      </c>
      <c r="D347">
        <v>6341</v>
      </c>
      <c r="E347" t="str">
        <f t="shared" si="88"/>
        <v>00</v>
      </c>
      <c r="F347" t="str">
        <f t="shared" si="90"/>
        <v>999</v>
      </c>
      <c r="G347">
        <v>5</v>
      </c>
      <c r="H347" t="str">
        <f t="shared" si="91"/>
        <v>99</v>
      </c>
      <c r="I347" t="str">
        <f t="shared" si="84"/>
        <v>0</v>
      </c>
      <c r="J347" t="str">
        <f t="shared" si="89"/>
        <v>00</v>
      </c>
      <c r="K347">
        <v>20141002</v>
      </c>
      <c r="L347" t="str">
        <f t="shared" si="92"/>
        <v>014480</v>
      </c>
      <c r="M347" t="str">
        <f t="shared" si="93"/>
        <v>00391</v>
      </c>
      <c r="N347" t="s">
        <v>265</v>
      </c>
      <c r="O347" s="1">
        <v>4744.24</v>
      </c>
      <c r="Q347" t="s">
        <v>33</v>
      </c>
      <c r="R347" t="s">
        <v>34</v>
      </c>
      <c r="S347" t="s">
        <v>35</v>
      </c>
      <c r="T347" t="s">
        <v>35</v>
      </c>
      <c r="U347" t="s">
        <v>34</v>
      </c>
      <c r="V347" t="str">
        <f>""</f>
        <v/>
      </c>
      <c r="W347">
        <v>20141002</v>
      </c>
      <c r="X347" t="s">
        <v>268</v>
      </c>
      <c r="Y347" t="s">
        <v>266</v>
      </c>
      <c r="Z347" t="s">
        <v>266</v>
      </c>
      <c r="AA347">
        <v>0</v>
      </c>
      <c r="AB347" t="s">
        <v>238</v>
      </c>
      <c r="AC347" t="s">
        <v>143</v>
      </c>
      <c r="AD347" t="s">
        <v>40</v>
      </c>
      <c r="AE347" t="str">
        <f t="shared" si="83"/>
        <v>10</v>
      </c>
      <c r="AF347" t="s">
        <v>40</v>
      </c>
    </row>
    <row r="348" spans="1:32" x14ac:dyDescent="0.25">
      <c r="A348">
        <v>5</v>
      </c>
      <c r="B348">
        <v>240</v>
      </c>
      <c r="C348" t="str">
        <f>"35"</f>
        <v>35</v>
      </c>
      <c r="D348">
        <v>6341</v>
      </c>
      <c r="E348" t="str">
        <f t="shared" si="88"/>
        <v>00</v>
      </c>
      <c r="F348" t="str">
        <f t="shared" si="90"/>
        <v>999</v>
      </c>
      <c r="G348">
        <v>5</v>
      </c>
      <c r="H348" t="str">
        <f t="shared" si="91"/>
        <v>99</v>
      </c>
      <c r="I348" t="str">
        <f t="shared" si="84"/>
        <v>0</v>
      </c>
      <c r="J348" t="str">
        <f t="shared" si="89"/>
        <v>00</v>
      </c>
      <c r="K348">
        <v>20141002</v>
      </c>
      <c r="L348" t="str">
        <f t="shared" si="92"/>
        <v>014480</v>
      </c>
      <c r="M348" t="str">
        <f t="shared" si="93"/>
        <v>00391</v>
      </c>
      <c r="N348" t="s">
        <v>265</v>
      </c>
      <c r="O348">
        <v>115.2</v>
      </c>
      <c r="Q348" t="s">
        <v>33</v>
      </c>
      <c r="R348" t="s">
        <v>34</v>
      </c>
      <c r="S348" t="s">
        <v>35</v>
      </c>
      <c r="T348" t="s">
        <v>35</v>
      </c>
      <c r="U348" t="s">
        <v>34</v>
      </c>
      <c r="V348" t="str">
        <f>""</f>
        <v/>
      </c>
      <c r="W348">
        <v>20141002</v>
      </c>
      <c r="X348" t="s">
        <v>268</v>
      </c>
      <c r="Y348" t="s">
        <v>266</v>
      </c>
      <c r="Z348" t="s">
        <v>266</v>
      </c>
      <c r="AA348">
        <v>0</v>
      </c>
      <c r="AB348" t="s">
        <v>238</v>
      </c>
      <c r="AC348" t="s">
        <v>143</v>
      </c>
      <c r="AD348" t="s">
        <v>40</v>
      </c>
      <c r="AE348" t="str">
        <f t="shared" si="83"/>
        <v>10</v>
      </c>
      <c r="AF348" t="s">
        <v>40</v>
      </c>
    </row>
    <row r="349" spans="1:32" x14ac:dyDescent="0.25">
      <c r="A349">
        <v>5</v>
      </c>
      <c r="B349">
        <v>240</v>
      </c>
      <c r="C349" t="str">
        <f>"35"</f>
        <v>35</v>
      </c>
      <c r="D349">
        <v>6341</v>
      </c>
      <c r="E349" t="str">
        <f t="shared" si="88"/>
        <v>00</v>
      </c>
      <c r="F349" t="str">
        <f t="shared" si="90"/>
        <v>999</v>
      </c>
      <c r="G349">
        <v>5</v>
      </c>
      <c r="H349" t="str">
        <f t="shared" si="91"/>
        <v>99</v>
      </c>
      <c r="I349" t="str">
        <f t="shared" si="84"/>
        <v>0</v>
      </c>
      <c r="J349" t="str">
        <f t="shared" si="89"/>
        <v>00</v>
      </c>
      <c r="K349">
        <v>20141002</v>
      </c>
      <c r="L349" t="str">
        <f t="shared" si="92"/>
        <v>014480</v>
      </c>
      <c r="M349" t="str">
        <f t="shared" si="93"/>
        <v>00391</v>
      </c>
      <c r="N349" t="s">
        <v>265</v>
      </c>
      <c r="O349">
        <v>174.29</v>
      </c>
      <c r="Q349" t="s">
        <v>33</v>
      </c>
      <c r="R349" t="s">
        <v>34</v>
      </c>
      <c r="S349" t="s">
        <v>35</v>
      </c>
      <c r="T349" t="s">
        <v>35</v>
      </c>
      <c r="U349" t="s">
        <v>34</v>
      </c>
      <c r="V349" t="str">
        <f>""</f>
        <v/>
      </c>
      <c r="W349">
        <v>20141002</v>
      </c>
      <c r="X349" t="s">
        <v>268</v>
      </c>
      <c r="Y349" t="s">
        <v>266</v>
      </c>
      <c r="Z349" t="s">
        <v>266</v>
      </c>
      <c r="AA349">
        <v>0</v>
      </c>
      <c r="AB349" t="s">
        <v>238</v>
      </c>
      <c r="AC349" t="s">
        <v>143</v>
      </c>
      <c r="AD349" t="s">
        <v>40</v>
      </c>
      <c r="AE349" t="str">
        <f t="shared" si="83"/>
        <v>10</v>
      </c>
      <c r="AF349" t="s">
        <v>40</v>
      </c>
    </row>
    <row r="350" spans="1:32" x14ac:dyDescent="0.25">
      <c r="A350">
        <v>5</v>
      </c>
      <c r="B350">
        <v>240</v>
      </c>
      <c r="C350" t="str">
        <f>"35"</f>
        <v>35</v>
      </c>
      <c r="D350">
        <v>6342</v>
      </c>
      <c r="E350" t="str">
        <f t="shared" si="88"/>
        <v>00</v>
      </c>
      <c r="F350" t="str">
        <f t="shared" si="90"/>
        <v>999</v>
      </c>
      <c r="G350">
        <v>5</v>
      </c>
      <c r="H350" t="str">
        <f t="shared" si="91"/>
        <v>99</v>
      </c>
      <c r="I350" t="str">
        <f t="shared" si="84"/>
        <v>0</v>
      </c>
      <c r="J350" t="str">
        <f t="shared" si="89"/>
        <v>00</v>
      </c>
      <c r="K350">
        <v>20141002</v>
      </c>
      <c r="L350" t="str">
        <f t="shared" si="92"/>
        <v>014480</v>
      </c>
      <c r="M350" t="str">
        <f t="shared" si="93"/>
        <v>00391</v>
      </c>
      <c r="N350" t="s">
        <v>265</v>
      </c>
      <c r="O350">
        <v>280.60000000000002</v>
      </c>
      <c r="Q350" t="s">
        <v>33</v>
      </c>
      <c r="R350" t="s">
        <v>34</v>
      </c>
      <c r="S350" t="s">
        <v>35</v>
      </c>
      <c r="T350" t="s">
        <v>35</v>
      </c>
      <c r="U350" t="s">
        <v>34</v>
      </c>
      <c r="V350" t="str">
        <f>""</f>
        <v/>
      </c>
      <c r="W350">
        <v>20141002</v>
      </c>
      <c r="X350" t="s">
        <v>269</v>
      </c>
      <c r="Y350" t="s">
        <v>266</v>
      </c>
      <c r="Z350" t="s">
        <v>266</v>
      </c>
      <c r="AA350">
        <v>0</v>
      </c>
      <c r="AB350" t="s">
        <v>238</v>
      </c>
      <c r="AC350" t="s">
        <v>143</v>
      </c>
      <c r="AD350" t="s">
        <v>40</v>
      </c>
      <c r="AE350" t="str">
        <f t="shared" si="83"/>
        <v>10</v>
      </c>
      <c r="AF350" t="s">
        <v>40</v>
      </c>
    </row>
    <row r="351" spans="1:32" x14ac:dyDescent="0.25">
      <c r="A351">
        <v>5</v>
      </c>
      <c r="B351">
        <v>240</v>
      </c>
      <c r="C351" t="str">
        <f>"51"</f>
        <v>51</v>
      </c>
      <c r="D351">
        <v>6319</v>
      </c>
      <c r="E351" t="str">
        <f t="shared" si="88"/>
        <v>00</v>
      </c>
      <c r="F351" t="str">
        <f t="shared" si="90"/>
        <v>999</v>
      </c>
      <c r="G351">
        <v>5</v>
      </c>
      <c r="H351" t="str">
        <f t="shared" si="91"/>
        <v>99</v>
      </c>
      <c r="I351" t="str">
        <f t="shared" si="84"/>
        <v>0</v>
      </c>
      <c r="J351" t="str">
        <f t="shared" si="89"/>
        <v>00</v>
      </c>
      <c r="K351">
        <v>20141002</v>
      </c>
      <c r="L351" t="str">
        <f t="shared" si="92"/>
        <v>014480</v>
      </c>
      <c r="M351" t="str">
        <f t="shared" si="93"/>
        <v>00391</v>
      </c>
      <c r="N351" t="s">
        <v>265</v>
      </c>
      <c r="O351">
        <v>42.92</v>
      </c>
      <c r="Q351" t="s">
        <v>33</v>
      </c>
      <c r="R351" t="s">
        <v>34</v>
      </c>
      <c r="S351" t="s">
        <v>35</v>
      </c>
      <c r="T351" t="s">
        <v>35</v>
      </c>
      <c r="U351" t="s">
        <v>34</v>
      </c>
      <c r="V351" t="str">
        <f>""</f>
        <v/>
      </c>
      <c r="W351">
        <v>20141002</v>
      </c>
      <c r="X351" t="s">
        <v>350</v>
      </c>
      <c r="Y351" t="s">
        <v>266</v>
      </c>
      <c r="Z351" t="s">
        <v>266</v>
      </c>
      <c r="AA351">
        <v>0</v>
      </c>
      <c r="AB351" t="s">
        <v>238</v>
      </c>
      <c r="AC351" t="s">
        <v>143</v>
      </c>
      <c r="AD351" t="s">
        <v>40</v>
      </c>
      <c r="AE351" t="str">
        <f t="shared" si="83"/>
        <v>10</v>
      </c>
      <c r="AF351" t="s">
        <v>40</v>
      </c>
    </row>
    <row r="352" spans="1:32" x14ac:dyDescent="0.25">
      <c r="A352">
        <v>5</v>
      </c>
      <c r="B352">
        <v>420</v>
      </c>
      <c r="C352" t="str">
        <f>"11"</f>
        <v>11</v>
      </c>
      <c r="D352">
        <v>6411</v>
      </c>
      <c r="E352" t="str">
        <f t="shared" si="88"/>
        <v>00</v>
      </c>
      <c r="F352" t="str">
        <f t="shared" si="90"/>
        <v>999</v>
      </c>
      <c r="G352">
        <v>5</v>
      </c>
      <c r="H352" t="str">
        <f>"11"</f>
        <v>11</v>
      </c>
      <c r="I352" t="str">
        <f t="shared" si="84"/>
        <v>0</v>
      </c>
      <c r="J352" t="str">
        <f t="shared" si="89"/>
        <v>00</v>
      </c>
      <c r="K352">
        <v>20141002</v>
      </c>
      <c r="L352" t="str">
        <f>"014481"</f>
        <v>014481</v>
      </c>
      <c r="M352" t="str">
        <f>"00776"</f>
        <v>00776</v>
      </c>
      <c r="N352" t="s">
        <v>351</v>
      </c>
      <c r="O352">
        <v>55.88</v>
      </c>
      <c r="Q352" t="s">
        <v>33</v>
      </c>
      <c r="R352" t="s">
        <v>34</v>
      </c>
      <c r="S352" t="s">
        <v>35</v>
      </c>
      <c r="T352" t="s">
        <v>35</v>
      </c>
      <c r="U352" t="s">
        <v>34</v>
      </c>
      <c r="V352" t="str">
        <f>""</f>
        <v/>
      </c>
      <c r="W352">
        <v>20141002</v>
      </c>
      <c r="X352" t="s">
        <v>328</v>
      </c>
      <c r="Y352" t="s">
        <v>327</v>
      </c>
      <c r="Z352" t="s">
        <v>327</v>
      </c>
      <c r="AA352">
        <v>0</v>
      </c>
      <c r="AB352" t="s">
        <v>142</v>
      </c>
      <c r="AC352" t="s">
        <v>143</v>
      </c>
      <c r="AD352" t="s">
        <v>40</v>
      </c>
      <c r="AE352" t="str">
        <f t="shared" si="83"/>
        <v>10</v>
      </c>
      <c r="AF352" t="s">
        <v>40</v>
      </c>
    </row>
    <row r="353" spans="1:32" x14ac:dyDescent="0.25">
      <c r="A353">
        <v>5</v>
      </c>
      <c r="B353">
        <v>240</v>
      </c>
      <c r="C353" t="str">
        <f>"35"</f>
        <v>35</v>
      </c>
      <c r="D353">
        <v>6299</v>
      </c>
      <c r="E353" t="str">
        <f t="shared" si="88"/>
        <v>00</v>
      </c>
      <c r="F353" t="str">
        <f t="shared" si="90"/>
        <v>999</v>
      </c>
      <c r="G353">
        <v>5</v>
      </c>
      <c r="H353" t="str">
        <f>"99"</f>
        <v>99</v>
      </c>
      <c r="I353" t="str">
        <f t="shared" si="84"/>
        <v>0</v>
      </c>
      <c r="J353" t="str">
        <f t="shared" si="89"/>
        <v>00</v>
      </c>
      <c r="K353">
        <v>20141002</v>
      </c>
      <c r="L353" t="str">
        <f>"014482"</f>
        <v>014482</v>
      </c>
      <c r="M353" t="str">
        <f>"00577"</f>
        <v>00577</v>
      </c>
      <c r="N353" t="s">
        <v>251</v>
      </c>
      <c r="O353">
        <v>39.04</v>
      </c>
      <c r="Q353" t="s">
        <v>33</v>
      </c>
      <c r="R353" t="s">
        <v>34</v>
      </c>
      <c r="S353" t="s">
        <v>35</v>
      </c>
      <c r="T353" t="s">
        <v>35</v>
      </c>
      <c r="U353" t="s">
        <v>34</v>
      </c>
      <c r="V353" t="str">
        <f>""</f>
        <v/>
      </c>
      <c r="W353">
        <v>20141002</v>
      </c>
      <c r="X353" t="s">
        <v>252</v>
      </c>
      <c r="Y353" t="s">
        <v>253</v>
      </c>
      <c r="Z353" t="s">
        <v>253</v>
      </c>
      <c r="AA353">
        <v>0</v>
      </c>
      <c r="AB353" t="s">
        <v>238</v>
      </c>
      <c r="AC353" t="s">
        <v>143</v>
      </c>
      <c r="AD353" t="s">
        <v>40</v>
      </c>
      <c r="AE353" t="str">
        <f t="shared" ref="AE353:AE384" si="94">"10"</f>
        <v>10</v>
      </c>
      <c r="AF353" t="s">
        <v>40</v>
      </c>
    </row>
    <row r="354" spans="1:32" x14ac:dyDescent="0.25">
      <c r="A354">
        <v>5</v>
      </c>
      <c r="B354">
        <v>240</v>
      </c>
      <c r="C354" t="str">
        <f>"35"</f>
        <v>35</v>
      </c>
      <c r="D354">
        <v>6299</v>
      </c>
      <c r="E354" t="str">
        <f t="shared" si="88"/>
        <v>00</v>
      </c>
      <c r="F354" t="str">
        <f t="shared" si="90"/>
        <v>999</v>
      </c>
      <c r="G354">
        <v>5</v>
      </c>
      <c r="H354" t="str">
        <f>"99"</f>
        <v>99</v>
      </c>
      <c r="I354" t="str">
        <f t="shared" si="84"/>
        <v>0</v>
      </c>
      <c r="J354" t="str">
        <f t="shared" si="89"/>
        <v>00</v>
      </c>
      <c r="K354">
        <v>20141002</v>
      </c>
      <c r="L354" t="str">
        <f>"014482"</f>
        <v>014482</v>
      </c>
      <c r="M354" t="str">
        <f>"00577"</f>
        <v>00577</v>
      </c>
      <c r="N354" t="s">
        <v>251</v>
      </c>
      <c r="O354">
        <v>39.04</v>
      </c>
      <c r="Q354" t="s">
        <v>33</v>
      </c>
      <c r="R354" t="s">
        <v>34</v>
      </c>
      <c r="S354" t="s">
        <v>35</v>
      </c>
      <c r="T354" t="s">
        <v>35</v>
      </c>
      <c r="U354" t="s">
        <v>34</v>
      </c>
      <c r="V354" t="str">
        <f>""</f>
        <v/>
      </c>
      <c r="W354">
        <v>20141002</v>
      </c>
      <c r="X354" t="s">
        <v>252</v>
      </c>
      <c r="Y354" t="s">
        <v>253</v>
      </c>
      <c r="Z354" t="s">
        <v>253</v>
      </c>
      <c r="AA354">
        <v>0</v>
      </c>
      <c r="AB354" t="s">
        <v>238</v>
      </c>
      <c r="AC354" t="s">
        <v>143</v>
      </c>
      <c r="AD354" t="s">
        <v>40</v>
      </c>
      <c r="AE354" t="str">
        <f t="shared" si="94"/>
        <v>10</v>
      </c>
      <c r="AF354" t="s">
        <v>40</v>
      </c>
    </row>
    <row r="355" spans="1:32" x14ac:dyDescent="0.25">
      <c r="A355">
        <v>5</v>
      </c>
      <c r="B355">
        <v>420</v>
      </c>
      <c r="C355" t="str">
        <f>"51"</f>
        <v>51</v>
      </c>
      <c r="D355">
        <v>6299</v>
      </c>
      <c r="E355" t="str">
        <f t="shared" si="88"/>
        <v>00</v>
      </c>
      <c r="F355" t="str">
        <f t="shared" si="90"/>
        <v>999</v>
      </c>
      <c r="G355">
        <v>5</v>
      </c>
      <c r="H355" t="str">
        <f>"99"</f>
        <v>99</v>
      </c>
      <c r="I355" t="str">
        <f t="shared" si="84"/>
        <v>0</v>
      </c>
      <c r="J355" t="str">
        <f t="shared" si="89"/>
        <v>00</v>
      </c>
      <c r="K355">
        <v>20141002</v>
      </c>
      <c r="L355" t="str">
        <f>"014482"</f>
        <v>014482</v>
      </c>
      <c r="M355" t="str">
        <f>"00577"</f>
        <v>00577</v>
      </c>
      <c r="N355" t="s">
        <v>251</v>
      </c>
      <c r="O355">
        <v>63.72</v>
      </c>
      <c r="Q355" t="s">
        <v>33</v>
      </c>
      <c r="R355" t="s">
        <v>34</v>
      </c>
      <c r="S355" t="s">
        <v>35</v>
      </c>
      <c r="T355" t="s">
        <v>35</v>
      </c>
      <c r="U355" t="s">
        <v>34</v>
      </c>
      <c r="V355" t="str">
        <f>""</f>
        <v/>
      </c>
      <c r="W355">
        <v>20141002</v>
      </c>
      <c r="X355" t="s">
        <v>203</v>
      </c>
      <c r="Y355" t="s">
        <v>253</v>
      </c>
      <c r="Z355" t="s">
        <v>253</v>
      </c>
      <c r="AA355">
        <v>0</v>
      </c>
      <c r="AB355" t="s">
        <v>142</v>
      </c>
      <c r="AC355" t="s">
        <v>143</v>
      </c>
      <c r="AD355" t="s">
        <v>40</v>
      </c>
      <c r="AE355" t="str">
        <f t="shared" si="94"/>
        <v>10</v>
      </c>
      <c r="AF355" t="s">
        <v>40</v>
      </c>
    </row>
    <row r="356" spans="1:32" x14ac:dyDescent="0.25">
      <c r="A356">
        <v>5</v>
      </c>
      <c r="B356">
        <v>420</v>
      </c>
      <c r="C356" t="str">
        <f>"11"</f>
        <v>11</v>
      </c>
      <c r="D356">
        <v>6411</v>
      </c>
      <c r="E356" t="str">
        <f t="shared" si="88"/>
        <v>00</v>
      </c>
      <c r="F356" t="str">
        <f t="shared" si="90"/>
        <v>999</v>
      </c>
      <c r="G356">
        <v>5</v>
      </c>
      <c r="H356" t="str">
        <f>"11"</f>
        <v>11</v>
      </c>
      <c r="I356" t="str">
        <f t="shared" si="84"/>
        <v>0</v>
      </c>
      <c r="J356" t="str">
        <f t="shared" si="89"/>
        <v>00</v>
      </c>
      <c r="K356">
        <v>20141002</v>
      </c>
      <c r="L356" t="str">
        <f>"014483"</f>
        <v>014483</v>
      </c>
      <c r="M356" t="str">
        <f>"00480"</f>
        <v>00480</v>
      </c>
      <c r="N356" t="s">
        <v>122</v>
      </c>
      <c r="O356">
        <v>72.69</v>
      </c>
      <c r="Q356" t="s">
        <v>33</v>
      </c>
      <c r="R356" t="s">
        <v>34</v>
      </c>
      <c r="S356" t="s">
        <v>35</v>
      </c>
      <c r="T356" t="s">
        <v>35</v>
      </c>
      <c r="U356" t="s">
        <v>34</v>
      </c>
      <c r="V356" t="str">
        <f>""</f>
        <v/>
      </c>
      <c r="W356">
        <v>20141002</v>
      </c>
      <c r="X356" t="s">
        <v>328</v>
      </c>
      <c r="Y356" t="s">
        <v>327</v>
      </c>
      <c r="Z356" t="s">
        <v>327</v>
      </c>
      <c r="AA356">
        <v>0</v>
      </c>
      <c r="AB356" t="s">
        <v>142</v>
      </c>
      <c r="AC356" t="s">
        <v>143</v>
      </c>
      <c r="AD356" t="s">
        <v>40</v>
      </c>
      <c r="AE356" t="str">
        <f t="shared" si="94"/>
        <v>10</v>
      </c>
      <c r="AF356" t="s">
        <v>40</v>
      </c>
    </row>
    <row r="357" spans="1:32" x14ac:dyDescent="0.25">
      <c r="A357">
        <v>5</v>
      </c>
      <c r="B357">
        <v>420</v>
      </c>
      <c r="C357" t="str">
        <f>"00"</f>
        <v>00</v>
      </c>
      <c r="D357">
        <v>2159</v>
      </c>
      <c r="E357" t="str">
        <f t="shared" si="88"/>
        <v>00</v>
      </c>
      <c r="F357" t="str">
        <f>"157"</f>
        <v>157</v>
      </c>
      <c r="G357">
        <v>5</v>
      </c>
      <c r="H357" t="str">
        <f>"00"</f>
        <v>00</v>
      </c>
      <c r="I357" t="str">
        <f t="shared" si="84"/>
        <v>0</v>
      </c>
      <c r="J357" t="str">
        <f t="shared" si="89"/>
        <v>00</v>
      </c>
      <c r="K357">
        <v>20141002</v>
      </c>
      <c r="L357" t="str">
        <f>"014484"</f>
        <v>014484</v>
      </c>
      <c r="M357" t="str">
        <f>"00444"</f>
        <v>00444</v>
      </c>
      <c r="N357" t="s">
        <v>41</v>
      </c>
      <c r="O357">
        <v>865</v>
      </c>
      <c r="Q357" t="s">
        <v>33</v>
      </c>
      <c r="R357" t="s">
        <v>34</v>
      </c>
      <c r="S357" t="s">
        <v>35</v>
      </c>
      <c r="T357" t="s">
        <v>35</v>
      </c>
      <c r="U357" t="s">
        <v>34</v>
      </c>
      <c r="V357" t="str">
        <f>""</f>
        <v/>
      </c>
      <c r="W357">
        <v>20141002</v>
      </c>
      <c r="X357" t="s">
        <v>352</v>
      </c>
      <c r="Y357" t="s">
        <v>353</v>
      </c>
      <c r="Z357" t="s">
        <v>353</v>
      </c>
      <c r="AA357">
        <v>0</v>
      </c>
      <c r="AB357" t="s">
        <v>142</v>
      </c>
      <c r="AC357" t="s">
        <v>354</v>
      </c>
      <c r="AD357" t="s">
        <v>40</v>
      </c>
      <c r="AE357" t="str">
        <f t="shared" si="94"/>
        <v>10</v>
      </c>
      <c r="AF357" t="s">
        <v>40</v>
      </c>
    </row>
    <row r="358" spans="1:32" x14ac:dyDescent="0.25">
      <c r="A358">
        <v>5</v>
      </c>
      <c r="B358">
        <v>420</v>
      </c>
      <c r="C358" t="str">
        <f>"51"</f>
        <v>51</v>
      </c>
      <c r="D358">
        <v>6499</v>
      </c>
      <c r="E358" t="str">
        <f t="shared" si="88"/>
        <v>00</v>
      </c>
      <c r="F358" t="str">
        <f>"999"</f>
        <v>999</v>
      </c>
      <c r="G358">
        <v>5</v>
      </c>
      <c r="H358" t="str">
        <f>"99"</f>
        <v>99</v>
      </c>
      <c r="I358" t="str">
        <f t="shared" si="84"/>
        <v>0</v>
      </c>
      <c r="J358" t="str">
        <f t="shared" si="89"/>
        <v>00</v>
      </c>
      <c r="K358">
        <v>20141003</v>
      </c>
      <c r="L358" t="str">
        <f>"014485"</f>
        <v>014485</v>
      </c>
      <c r="M358" t="str">
        <f>"00664"</f>
        <v>00664</v>
      </c>
      <c r="N358" t="s">
        <v>355</v>
      </c>
      <c r="O358">
        <v>700</v>
      </c>
      <c r="Q358" t="s">
        <v>33</v>
      </c>
      <c r="R358" t="s">
        <v>34</v>
      </c>
      <c r="S358" t="s">
        <v>35</v>
      </c>
      <c r="T358" t="s">
        <v>35</v>
      </c>
      <c r="U358" t="s">
        <v>34</v>
      </c>
      <c r="V358" t="str">
        <f>""</f>
        <v/>
      </c>
      <c r="W358">
        <v>20141003</v>
      </c>
      <c r="X358" t="s">
        <v>356</v>
      </c>
      <c r="Y358" t="s">
        <v>357</v>
      </c>
      <c r="Z358" t="s">
        <v>357</v>
      </c>
      <c r="AA358">
        <v>0</v>
      </c>
      <c r="AB358" t="s">
        <v>142</v>
      </c>
      <c r="AC358" t="s">
        <v>143</v>
      </c>
      <c r="AD358" t="s">
        <v>40</v>
      </c>
      <c r="AE358" t="str">
        <f t="shared" si="94"/>
        <v>10</v>
      </c>
      <c r="AF358" t="s">
        <v>40</v>
      </c>
    </row>
    <row r="359" spans="1:32" x14ac:dyDescent="0.25">
      <c r="A359">
        <v>5</v>
      </c>
      <c r="B359">
        <v>420</v>
      </c>
      <c r="C359" t="str">
        <f>"11"</f>
        <v>11</v>
      </c>
      <c r="D359">
        <v>6269</v>
      </c>
      <c r="E359" t="str">
        <f t="shared" si="88"/>
        <v>00</v>
      </c>
      <c r="F359" t="str">
        <f>"999"</f>
        <v>999</v>
      </c>
      <c r="G359">
        <v>5</v>
      </c>
      <c r="H359" t="str">
        <f>"11"</f>
        <v>11</v>
      </c>
      <c r="I359" t="str">
        <f t="shared" si="84"/>
        <v>0</v>
      </c>
      <c r="J359" t="str">
        <f t="shared" si="89"/>
        <v>00</v>
      </c>
      <c r="K359">
        <v>20141009</v>
      </c>
      <c r="L359" t="str">
        <f>"014486"</f>
        <v>014486</v>
      </c>
      <c r="M359" t="str">
        <f>"00628"</f>
        <v>00628</v>
      </c>
      <c r="N359" t="s">
        <v>212</v>
      </c>
      <c r="O359">
        <v>378.97</v>
      </c>
      <c r="Q359" t="s">
        <v>33</v>
      </c>
      <c r="R359" t="s">
        <v>34</v>
      </c>
      <c r="S359" t="s">
        <v>35</v>
      </c>
      <c r="T359" t="s">
        <v>35</v>
      </c>
      <c r="U359" t="s">
        <v>34</v>
      </c>
      <c r="V359" t="str">
        <f>""</f>
        <v/>
      </c>
      <c r="W359">
        <v>20141008</v>
      </c>
      <c r="X359" t="s">
        <v>213</v>
      </c>
      <c r="Y359" t="s">
        <v>358</v>
      </c>
      <c r="Z359" t="s">
        <v>358</v>
      </c>
      <c r="AA359">
        <v>0</v>
      </c>
      <c r="AB359" t="s">
        <v>142</v>
      </c>
      <c r="AC359" t="s">
        <v>143</v>
      </c>
      <c r="AD359" t="s">
        <v>40</v>
      </c>
      <c r="AE359" t="str">
        <f t="shared" si="94"/>
        <v>10</v>
      </c>
      <c r="AF359" t="s">
        <v>40</v>
      </c>
    </row>
    <row r="360" spans="1:32" x14ac:dyDescent="0.25">
      <c r="A360">
        <v>5</v>
      </c>
      <c r="B360">
        <v>420</v>
      </c>
      <c r="C360" t="str">
        <f>"52"</f>
        <v>52</v>
      </c>
      <c r="D360">
        <v>6219</v>
      </c>
      <c r="E360" t="str">
        <f t="shared" si="88"/>
        <v>00</v>
      </c>
      <c r="F360" t="str">
        <f>"999"</f>
        <v>999</v>
      </c>
      <c r="G360">
        <v>5</v>
      </c>
      <c r="H360" t="str">
        <f>"99"</f>
        <v>99</v>
      </c>
      <c r="I360" t="str">
        <f t="shared" si="84"/>
        <v>0</v>
      </c>
      <c r="J360" t="str">
        <f t="shared" si="89"/>
        <v>00</v>
      </c>
      <c r="K360">
        <v>20141009</v>
      </c>
      <c r="L360" t="str">
        <f>"014487"</f>
        <v>014487</v>
      </c>
      <c r="M360" t="str">
        <f>"00392"</f>
        <v>00392</v>
      </c>
      <c r="N360" t="s">
        <v>218</v>
      </c>
      <c r="O360">
        <v>35.950000000000003</v>
      </c>
      <c r="Q360" t="s">
        <v>33</v>
      </c>
      <c r="R360" t="s">
        <v>34</v>
      </c>
      <c r="S360" t="s">
        <v>35</v>
      </c>
      <c r="T360" t="s">
        <v>35</v>
      </c>
      <c r="U360" t="s">
        <v>34</v>
      </c>
      <c r="V360" t="str">
        <f>""</f>
        <v/>
      </c>
      <c r="W360">
        <v>20141008</v>
      </c>
      <c r="X360" t="s">
        <v>208</v>
      </c>
      <c r="Y360" t="s">
        <v>359</v>
      </c>
      <c r="Z360" t="s">
        <v>359</v>
      </c>
      <c r="AA360">
        <v>0</v>
      </c>
      <c r="AB360" t="s">
        <v>142</v>
      </c>
      <c r="AC360" t="s">
        <v>143</v>
      </c>
      <c r="AD360" t="s">
        <v>40</v>
      </c>
      <c r="AE360" t="str">
        <f t="shared" si="94"/>
        <v>10</v>
      </c>
      <c r="AF360" t="s">
        <v>40</v>
      </c>
    </row>
    <row r="361" spans="1:32" x14ac:dyDescent="0.25">
      <c r="A361">
        <v>5</v>
      </c>
      <c r="B361">
        <v>240</v>
      </c>
      <c r="C361" t="str">
        <f>"35"</f>
        <v>35</v>
      </c>
      <c r="D361">
        <v>6341</v>
      </c>
      <c r="E361" t="str">
        <f t="shared" si="88"/>
        <v>00</v>
      </c>
      <c r="F361" t="str">
        <f>"999"</f>
        <v>999</v>
      </c>
      <c r="G361">
        <v>5</v>
      </c>
      <c r="H361" t="str">
        <f>"99"</f>
        <v>99</v>
      </c>
      <c r="I361" t="str">
        <f t="shared" si="84"/>
        <v>0</v>
      </c>
      <c r="J361" t="str">
        <f t="shared" si="89"/>
        <v>00</v>
      </c>
      <c r="K361">
        <v>20141009</v>
      </c>
      <c r="L361" t="str">
        <f>"014488"</f>
        <v>014488</v>
      </c>
      <c r="M361" t="str">
        <f>"00048"</f>
        <v>00048</v>
      </c>
      <c r="N361" t="s">
        <v>309</v>
      </c>
      <c r="O361">
        <v>63.54</v>
      </c>
      <c r="Q361" t="s">
        <v>33</v>
      </c>
      <c r="R361" t="s">
        <v>34</v>
      </c>
      <c r="S361" t="s">
        <v>35</v>
      </c>
      <c r="T361" t="s">
        <v>35</v>
      </c>
      <c r="U361" t="s">
        <v>34</v>
      </c>
      <c r="V361" t="str">
        <f>""</f>
        <v/>
      </c>
      <c r="W361">
        <v>20141008</v>
      </c>
      <c r="X361" t="s">
        <v>268</v>
      </c>
      <c r="Y361" t="s">
        <v>360</v>
      </c>
      <c r="Z361" t="s">
        <v>360</v>
      </c>
      <c r="AA361">
        <v>0</v>
      </c>
      <c r="AB361" t="s">
        <v>238</v>
      </c>
      <c r="AC361" t="s">
        <v>143</v>
      </c>
      <c r="AD361" t="s">
        <v>40</v>
      </c>
      <c r="AE361" t="str">
        <f t="shared" si="94"/>
        <v>10</v>
      </c>
      <c r="AF361" t="s">
        <v>40</v>
      </c>
    </row>
    <row r="362" spans="1:32" x14ac:dyDescent="0.25">
      <c r="A362">
        <v>5</v>
      </c>
      <c r="B362">
        <v>211</v>
      </c>
      <c r="C362" t="str">
        <f>"11"</f>
        <v>11</v>
      </c>
      <c r="D362">
        <v>6219</v>
      </c>
      <c r="E362" t="str">
        <f t="shared" si="88"/>
        <v>00</v>
      </c>
      <c r="F362" t="str">
        <f>"001"</f>
        <v>001</v>
      </c>
      <c r="G362">
        <v>5</v>
      </c>
      <c r="H362" t="str">
        <f>"30"</f>
        <v>30</v>
      </c>
      <c r="I362" t="str">
        <f t="shared" si="84"/>
        <v>0</v>
      </c>
      <c r="J362" t="str">
        <f t="shared" si="89"/>
        <v>00</v>
      </c>
      <c r="K362">
        <v>20141009</v>
      </c>
      <c r="L362" t="str">
        <f>"014489"</f>
        <v>014489</v>
      </c>
      <c r="M362" t="str">
        <f>"00734"</f>
        <v>00734</v>
      </c>
      <c r="N362" t="s">
        <v>220</v>
      </c>
      <c r="O362">
        <v>375</v>
      </c>
      <c r="Q362" t="s">
        <v>33</v>
      </c>
      <c r="R362" t="s">
        <v>34</v>
      </c>
      <c r="S362" t="s">
        <v>35</v>
      </c>
      <c r="T362" t="s">
        <v>35</v>
      </c>
      <c r="U362" t="s">
        <v>34</v>
      </c>
      <c r="V362" t="str">
        <f>""</f>
        <v/>
      </c>
      <c r="W362">
        <v>20141009</v>
      </c>
      <c r="X362" t="s">
        <v>173</v>
      </c>
      <c r="Y362" t="s">
        <v>361</v>
      </c>
      <c r="Z362" t="s">
        <v>361</v>
      </c>
      <c r="AA362">
        <v>0</v>
      </c>
      <c r="AB362" t="s">
        <v>174</v>
      </c>
      <c r="AC362" t="s">
        <v>41</v>
      </c>
      <c r="AD362" t="s">
        <v>40</v>
      </c>
      <c r="AE362" t="str">
        <f t="shared" si="94"/>
        <v>10</v>
      </c>
      <c r="AF362" t="s">
        <v>40</v>
      </c>
    </row>
    <row r="363" spans="1:32" x14ac:dyDescent="0.25">
      <c r="A363">
        <v>5</v>
      </c>
      <c r="B363">
        <v>211</v>
      </c>
      <c r="C363" t="str">
        <f>"11"</f>
        <v>11</v>
      </c>
      <c r="D363">
        <v>6219</v>
      </c>
      <c r="E363" t="str">
        <f t="shared" si="88"/>
        <v>00</v>
      </c>
      <c r="F363" t="str">
        <f>"041"</f>
        <v>041</v>
      </c>
      <c r="G363">
        <v>5</v>
      </c>
      <c r="H363" t="str">
        <f>"30"</f>
        <v>30</v>
      </c>
      <c r="I363" t="str">
        <f t="shared" si="84"/>
        <v>0</v>
      </c>
      <c r="J363" t="str">
        <f t="shared" si="89"/>
        <v>00</v>
      </c>
      <c r="K363">
        <v>20141009</v>
      </c>
      <c r="L363" t="str">
        <f>"014489"</f>
        <v>014489</v>
      </c>
      <c r="M363" t="str">
        <f>"00734"</f>
        <v>00734</v>
      </c>
      <c r="N363" t="s">
        <v>220</v>
      </c>
      <c r="O363">
        <v>375</v>
      </c>
      <c r="Q363" t="s">
        <v>33</v>
      </c>
      <c r="R363" t="s">
        <v>34</v>
      </c>
      <c r="S363" t="s">
        <v>35</v>
      </c>
      <c r="T363" t="s">
        <v>35</v>
      </c>
      <c r="U363" t="s">
        <v>34</v>
      </c>
      <c r="V363" t="str">
        <f>""</f>
        <v/>
      </c>
      <c r="W363">
        <v>20141009</v>
      </c>
      <c r="X363" t="s">
        <v>175</v>
      </c>
      <c r="Y363" t="s">
        <v>361</v>
      </c>
      <c r="Z363" t="s">
        <v>361</v>
      </c>
      <c r="AA363">
        <v>0</v>
      </c>
      <c r="AB363" t="s">
        <v>174</v>
      </c>
      <c r="AC363" t="s">
        <v>41</v>
      </c>
      <c r="AD363" t="s">
        <v>40</v>
      </c>
      <c r="AE363" t="str">
        <f t="shared" si="94"/>
        <v>10</v>
      </c>
      <c r="AF363" t="s">
        <v>40</v>
      </c>
    </row>
    <row r="364" spans="1:32" x14ac:dyDescent="0.25">
      <c r="A364">
        <v>5</v>
      </c>
      <c r="B364">
        <v>420</v>
      </c>
      <c r="C364" t="str">
        <f>"36"</f>
        <v>36</v>
      </c>
      <c r="D364">
        <v>6499</v>
      </c>
      <c r="E364" t="str">
        <f t="shared" si="88"/>
        <v>00</v>
      </c>
      <c r="F364" t="str">
        <f>"001"</f>
        <v>001</v>
      </c>
      <c r="G364">
        <v>5</v>
      </c>
      <c r="H364" t="str">
        <f>"91"</f>
        <v>91</v>
      </c>
      <c r="I364" t="str">
        <f t="shared" si="84"/>
        <v>0</v>
      </c>
      <c r="J364" t="str">
        <f t="shared" si="89"/>
        <v>00</v>
      </c>
      <c r="K364">
        <v>20141009</v>
      </c>
      <c r="L364" t="str">
        <f>"014490"</f>
        <v>014490</v>
      </c>
      <c r="M364" t="str">
        <f>"00779"</f>
        <v>00779</v>
      </c>
      <c r="N364" t="s">
        <v>362</v>
      </c>
      <c r="O364">
        <v>130</v>
      </c>
      <c r="Q364" t="s">
        <v>33</v>
      </c>
      <c r="R364" t="s">
        <v>34</v>
      </c>
      <c r="S364" t="s">
        <v>35</v>
      </c>
      <c r="T364" t="s">
        <v>35</v>
      </c>
      <c r="U364" t="s">
        <v>34</v>
      </c>
      <c r="V364" t="str">
        <f>""</f>
        <v/>
      </c>
      <c r="W364">
        <v>20141008</v>
      </c>
      <c r="X364" t="s">
        <v>275</v>
      </c>
      <c r="Y364" t="s">
        <v>363</v>
      </c>
      <c r="Z364" t="s">
        <v>363</v>
      </c>
      <c r="AA364">
        <v>0</v>
      </c>
      <c r="AB364" t="s">
        <v>142</v>
      </c>
      <c r="AC364" t="s">
        <v>41</v>
      </c>
      <c r="AD364" t="s">
        <v>40</v>
      </c>
      <c r="AE364" t="str">
        <f t="shared" si="94"/>
        <v>10</v>
      </c>
      <c r="AF364" t="s">
        <v>40</v>
      </c>
    </row>
    <row r="365" spans="1:32" x14ac:dyDescent="0.25">
      <c r="A365">
        <v>5</v>
      </c>
      <c r="B365">
        <v>420</v>
      </c>
      <c r="C365" t="str">
        <f>"53"</f>
        <v>53</v>
      </c>
      <c r="D365">
        <v>6219</v>
      </c>
      <c r="E365" t="str">
        <f t="shared" si="88"/>
        <v>00</v>
      </c>
      <c r="F365" t="str">
        <f>"999"</f>
        <v>999</v>
      </c>
      <c r="G365">
        <v>5</v>
      </c>
      <c r="H365" t="str">
        <f>"99"</f>
        <v>99</v>
      </c>
      <c r="I365" t="str">
        <f t="shared" si="84"/>
        <v>0</v>
      </c>
      <c r="J365" t="str">
        <f t="shared" si="89"/>
        <v>00</v>
      </c>
      <c r="K365">
        <v>20141009</v>
      </c>
      <c r="L365" t="str">
        <f>"014491"</f>
        <v>014491</v>
      </c>
      <c r="M365" t="str">
        <f>"00431"</f>
        <v>00431</v>
      </c>
      <c r="N365" t="s">
        <v>364</v>
      </c>
      <c r="O365">
        <v>588.98</v>
      </c>
      <c r="Q365" t="s">
        <v>33</v>
      </c>
      <c r="R365" t="s">
        <v>34</v>
      </c>
      <c r="S365" t="s">
        <v>35</v>
      </c>
      <c r="T365" t="s">
        <v>35</v>
      </c>
      <c r="U365" t="s">
        <v>34</v>
      </c>
      <c r="V365" t="str">
        <f>""</f>
        <v/>
      </c>
      <c r="W365">
        <v>20141009</v>
      </c>
      <c r="X365" t="s">
        <v>365</v>
      </c>
      <c r="Y365" t="s">
        <v>366</v>
      </c>
      <c r="Z365" t="s">
        <v>366</v>
      </c>
      <c r="AA365">
        <v>0</v>
      </c>
      <c r="AB365" t="s">
        <v>142</v>
      </c>
      <c r="AC365" t="s">
        <v>143</v>
      </c>
      <c r="AD365" t="s">
        <v>40</v>
      </c>
      <c r="AE365" t="str">
        <f t="shared" si="94"/>
        <v>10</v>
      </c>
      <c r="AF365" t="s">
        <v>40</v>
      </c>
    </row>
    <row r="366" spans="1:32" x14ac:dyDescent="0.25">
      <c r="A366">
        <v>5</v>
      </c>
      <c r="B366">
        <v>420</v>
      </c>
      <c r="C366" t="str">
        <f>"51"</f>
        <v>51</v>
      </c>
      <c r="D366">
        <v>6219</v>
      </c>
      <c r="E366" t="str">
        <f t="shared" si="88"/>
        <v>00</v>
      </c>
      <c r="F366" t="str">
        <f>"999"</f>
        <v>999</v>
      </c>
      <c r="G366">
        <v>5</v>
      </c>
      <c r="H366" t="str">
        <f>"99"</f>
        <v>99</v>
      </c>
      <c r="I366" t="str">
        <f t="shared" si="84"/>
        <v>0</v>
      </c>
      <c r="J366" t="str">
        <f t="shared" si="89"/>
        <v>00</v>
      </c>
      <c r="K366">
        <v>20141009</v>
      </c>
      <c r="L366" t="str">
        <f>"014492"</f>
        <v>014492</v>
      </c>
      <c r="M366" t="str">
        <f>"00102"</f>
        <v>00102</v>
      </c>
      <c r="N366" t="s">
        <v>367</v>
      </c>
      <c r="O366">
        <v>145</v>
      </c>
      <c r="Q366" t="s">
        <v>33</v>
      </c>
      <c r="R366" t="s">
        <v>34</v>
      </c>
      <c r="S366" t="s">
        <v>35</v>
      </c>
      <c r="T366" t="s">
        <v>35</v>
      </c>
      <c r="U366" t="s">
        <v>34</v>
      </c>
      <c r="V366" t="str">
        <f>""</f>
        <v/>
      </c>
      <c r="W366">
        <v>20141009</v>
      </c>
      <c r="X366" t="s">
        <v>183</v>
      </c>
      <c r="Y366" t="s">
        <v>368</v>
      </c>
      <c r="Z366" t="s">
        <v>368</v>
      </c>
      <c r="AA366">
        <v>0</v>
      </c>
      <c r="AB366" t="s">
        <v>142</v>
      </c>
      <c r="AC366" t="s">
        <v>143</v>
      </c>
      <c r="AD366" t="s">
        <v>40</v>
      </c>
      <c r="AE366" t="str">
        <f t="shared" si="94"/>
        <v>10</v>
      </c>
      <c r="AF366" t="s">
        <v>40</v>
      </c>
    </row>
    <row r="367" spans="1:32" x14ac:dyDescent="0.25">
      <c r="A367">
        <v>5</v>
      </c>
      <c r="B367">
        <v>420</v>
      </c>
      <c r="C367" t="str">
        <f>"36"</f>
        <v>36</v>
      </c>
      <c r="D367">
        <v>6499</v>
      </c>
      <c r="E367" t="str">
        <f t="shared" si="88"/>
        <v>00</v>
      </c>
      <c r="F367" t="str">
        <f>"001"</f>
        <v>001</v>
      </c>
      <c r="G367">
        <v>5</v>
      </c>
      <c r="H367" t="str">
        <f>"91"</f>
        <v>91</v>
      </c>
      <c r="I367" t="str">
        <f t="shared" si="84"/>
        <v>0</v>
      </c>
      <c r="J367" t="str">
        <f t="shared" si="89"/>
        <v>00</v>
      </c>
      <c r="K367">
        <v>20141009</v>
      </c>
      <c r="L367" t="str">
        <f>"014493"</f>
        <v>014493</v>
      </c>
      <c r="M367" t="str">
        <f>"00780"</f>
        <v>00780</v>
      </c>
      <c r="N367" t="s">
        <v>369</v>
      </c>
      <c r="O367">
        <v>100</v>
      </c>
      <c r="Q367" t="s">
        <v>33</v>
      </c>
      <c r="R367" t="s">
        <v>34</v>
      </c>
      <c r="S367" t="s">
        <v>35</v>
      </c>
      <c r="T367" t="s">
        <v>35</v>
      </c>
      <c r="U367" t="s">
        <v>34</v>
      </c>
      <c r="V367" t="str">
        <f>""</f>
        <v/>
      </c>
      <c r="W367">
        <v>20141008</v>
      </c>
      <c r="X367" t="s">
        <v>275</v>
      </c>
      <c r="Y367" t="s">
        <v>370</v>
      </c>
      <c r="Z367" t="s">
        <v>370</v>
      </c>
      <c r="AA367">
        <v>0</v>
      </c>
      <c r="AB367" t="s">
        <v>142</v>
      </c>
      <c r="AC367" t="s">
        <v>41</v>
      </c>
      <c r="AD367" t="s">
        <v>40</v>
      </c>
      <c r="AE367" t="str">
        <f t="shared" si="94"/>
        <v>10</v>
      </c>
      <c r="AF367" t="s">
        <v>40</v>
      </c>
    </row>
    <row r="368" spans="1:32" x14ac:dyDescent="0.25">
      <c r="A368">
        <v>5</v>
      </c>
      <c r="B368">
        <v>420</v>
      </c>
      <c r="C368" t="str">
        <f>"61"</f>
        <v>61</v>
      </c>
      <c r="D368">
        <v>6219</v>
      </c>
      <c r="E368" t="str">
        <f t="shared" si="88"/>
        <v>00</v>
      </c>
      <c r="F368" t="str">
        <f>"999"</f>
        <v>999</v>
      </c>
      <c r="G368">
        <v>5</v>
      </c>
      <c r="H368" t="str">
        <f>"11"</f>
        <v>11</v>
      </c>
      <c r="I368" t="str">
        <f t="shared" si="84"/>
        <v>0</v>
      </c>
      <c r="J368" t="str">
        <f t="shared" si="89"/>
        <v>00</v>
      </c>
      <c r="K368">
        <v>20141009</v>
      </c>
      <c r="L368" t="str">
        <f>"014494"</f>
        <v>014494</v>
      </c>
      <c r="M368" t="str">
        <f>"00566"</f>
        <v>00566</v>
      </c>
      <c r="N368" t="s">
        <v>221</v>
      </c>
      <c r="O368">
        <v>67</v>
      </c>
      <c r="Q368" t="s">
        <v>33</v>
      </c>
      <c r="R368" t="s">
        <v>34</v>
      </c>
      <c r="S368" t="s">
        <v>35</v>
      </c>
      <c r="T368" t="s">
        <v>35</v>
      </c>
      <c r="U368" t="s">
        <v>34</v>
      </c>
      <c r="V368" t="str">
        <f>""</f>
        <v/>
      </c>
      <c r="W368">
        <v>20141008</v>
      </c>
      <c r="X368" t="s">
        <v>222</v>
      </c>
      <c r="Y368" t="s">
        <v>371</v>
      </c>
      <c r="Z368" t="s">
        <v>371</v>
      </c>
      <c r="AA368">
        <v>0</v>
      </c>
      <c r="AB368" t="s">
        <v>142</v>
      </c>
      <c r="AC368" t="s">
        <v>143</v>
      </c>
      <c r="AD368" t="s">
        <v>40</v>
      </c>
      <c r="AE368" t="str">
        <f t="shared" si="94"/>
        <v>10</v>
      </c>
      <c r="AF368" t="s">
        <v>40</v>
      </c>
    </row>
    <row r="369" spans="1:32" x14ac:dyDescent="0.25">
      <c r="A369">
        <v>5</v>
      </c>
      <c r="B369">
        <v>420</v>
      </c>
      <c r="C369" t="str">
        <f>"51"</f>
        <v>51</v>
      </c>
      <c r="D369">
        <v>6269</v>
      </c>
      <c r="E369" t="str">
        <f t="shared" si="88"/>
        <v>00</v>
      </c>
      <c r="F369" t="str">
        <f>"999"</f>
        <v>999</v>
      </c>
      <c r="G369">
        <v>5</v>
      </c>
      <c r="H369" t="str">
        <f>"99"</f>
        <v>99</v>
      </c>
      <c r="I369" t="str">
        <f t="shared" si="84"/>
        <v>0</v>
      </c>
      <c r="J369" t="str">
        <f t="shared" si="89"/>
        <v>00</v>
      </c>
      <c r="K369">
        <v>20141009</v>
      </c>
      <c r="L369" t="str">
        <f>"014495"</f>
        <v>014495</v>
      </c>
      <c r="M369" t="str">
        <f>"00389"</f>
        <v>00389</v>
      </c>
      <c r="N369" t="s">
        <v>224</v>
      </c>
      <c r="O369">
        <v>135</v>
      </c>
      <c r="Q369" t="s">
        <v>33</v>
      </c>
      <c r="R369" t="s">
        <v>34</v>
      </c>
      <c r="S369" t="s">
        <v>35</v>
      </c>
      <c r="T369" t="s">
        <v>35</v>
      </c>
      <c r="U369" t="s">
        <v>34</v>
      </c>
      <c r="V369" t="str">
        <f>""</f>
        <v/>
      </c>
      <c r="W369">
        <v>20141009</v>
      </c>
      <c r="X369" t="s">
        <v>225</v>
      </c>
      <c r="Y369" t="s">
        <v>226</v>
      </c>
      <c r="Z369" t="s">
        <v>226</v>
      </c>
      <c r="AA369">
        <v>0</v>
      </c>
      <c r="AB369" t="s">
        <v>142</v>
      </c>
      <c r="AC369" t="s">
        <v>143</v>
      </c>
      <c r="AD369" t="s">
        <v>40</v>
      </c>
      <c r="AE369" t="str">
        <f t="shared" si="94"/>
        <v>10</v>
      </c>
      <c r="AF369" t="s">
        <v>40</v>
      </c>
    </row>
    <row r="370" spans="1:32" x14ac:dyDescent="0.25">
      <c r="A370">
        <v>5</v>
      </c>
      <c r="B370">
        <v>420</v>
      </c>
      <c r="C370" t="str">
        <f>"11"</f>
        <v>11</v>
      </c>
      <c r="D370">
        <v>6399</v>
      </c>
      <c r="E370" t="str">
        <f t="shared" si="88"/>
        <v>00</v>
      </c>
      <c r="F370" t="str">
        <f>"001"</f>
        <v>001</v>
      </c>
      <c r="G370">
        <v>5</v>
      </c>
      <c r="H370" t="str">
        <f>"11"</f>
        <v>11</v>
      </c>
      <c r="I370" t="str">
        <f t="shared" si="84"/>
        <v>0</v>
      </c>
      <c r="J370" t="str">
        <f t="shared" si="89"/>
        <v>00</v>
      </c>
      <c r="K370">
        <v>20141009</v>
      </c>
      <c r="L370" t="str">
        <f>"014496"</f>
        <v>014496</v>
      </c>
      <c r="M370" t="str">
        <f>"00274"</f>
        <v>00274</v>
      </c>
      <c r="N370" t="s">
        <v>372</v>
      </c>
      <c r="O370">
        <v>134.38</v>
      </c>
      <c r="Q370" t="s">
        <v>33</v>
      </c>
      <c r="R370" t="s">
        <v>34</v>
      </c>
      <c r="S370" t="s">
        <v>35</v>
      </c>
      <c r="T370" t="s">
        <v>35</v>
      </c>
      <c r="U370" t="s">
        <v>34</v>
      </c>
      <c r="V370" t="str">
        <f>""</f>
        <v/>
      </c>
      <c r="W370">
        <v>20141009</v>
      </c>
      <c r="X370" t="s">
        <v>239</v>
      </c>
      <c r="Y370" t="s">
        <v>373</v>
      </c>
      <c r="Z370" t="s">
        <v>373</v>
      </c>
      <c r="AA370">
        <v>0</v>
      </c>
      <c r="AB370" t="s">
        <v>142</v>
      </c>
      <c r="AC370" t="s">
        <v>41</v>
      </c>
      <c r="AD370" t="s">
        <v>40</v>
      </c>
      <c r="AE370" t="str">
        <f t="shared" si="94"/>
        <v>10</v>
      </c>
      <c r="AF370" t="s">
        <v>40</v>
      </c>
    </row>
    <row r="371" spans="1:32" x14ac:dyDescent="0.25">
      <c r="A371">
        <v>5</v>
      </c>
      <c r="B371">
        <v>420</v>
      </c>
      <c r="C371" t="str">
        <f>"11"</f>
        <v>11</v>
      </c>
      <c r="D371">
        <v>6399</v>
      </c>
      <c r="E371" t="str">
        <f t="shared" si="88"/>
        <v>00</v>
      </c>
      <c r="F371" t="str">
        <f>"041"</f>
        <v>041</v>
      </c>
      <c r="G371">
        <v>5</v>
      </c>
      <c r="H371" t="str">
        <f>"11"</f>
        <v>11</v>
      </c>
      <c r="I371" t="str">
        <f t="shared" si="84"/>
        <v>0</v>
      </c>
      <c r="J371" t="str">
        <f t="shared" si="89"/>
        <v>00</v>
      </c>
      <c r="K371">
        <v>20141009</v>
      </c>
      <c r="L371" t="str">
        <f>"014496"</f>
        <v>014496</v>
      </c>
      <c r="M371" t="str">
        <f>"00274"</f>
        <v>00274</v>
      </c>
      <c r="N371" t="s">
        <v>372</v>
      </c>
      <c r="O371">
        <v>134.38</v>
      </c>
      <c r="Q371" t="s">
        <v>33</v>
      </c>
      <c r="R371" t="s">
        <v>34</v>
      </c>
      <c r="S371" t="s">
        <v>35</v>
      </c>
      <c r="T371" t="s">
        <v>35</v>
      </c>
      <c r="U371" t="s">
        <v>34</v>
      </c>
      <c r="V371" t="str">
        <f>""</f>
        <v/>
      </c>
      <c r="W371">
        <v>20141009</v>
      </c>
      <c r="X371" t="s">
        <v>241</v>
      </c>
      <c r="Y371" t="s">
        <v>373</v>
      </c>
      <c r="Z371" t="s">
        <v>373</v>
      </c>
      <c r="AA371">
        <v>0</v>
      </c>
      <c r="AB371" t="s">
        <v>142</v>
      </c>
      <c r="AC371" t="s">
        <v>41</v>
      </c>
      <c r="AD371" t="s">
        <v>40</v>
      </c>
      <c r="AE371" t="str">
        <f t="shared" si="94"/>
        <v>10</v>
      </c>
      <c r="AF371" t="s">
        <v>40</v>
      </c>
    </row>
    <row r="372" spans="1:32" x14ac:dyDescent="0.25">
      <c r="A372">
        <v>5</v>
      </c>
      <c r="B372">
        <v>420</v>
      </c>
      <c r="C372" t="str">
        <f>"11"</f>
        <v>11</v>
      </c>
      <c r="D372">
        <v>6399</v>
      </c>
      <c r="E372" t="str">
        <f t="shared" si="88"/>
        <v>00</v>
      </c>
      <c r="F372" t="str">
        <f>"101"</f>
        <v>101</v>
      </c>
      <c r="G372">
        <v>5</v>
      </c>
      <c r="H372" t="str">
        <f>"11"</f>
        <v>11</v>
      </c>
      <c r="I372" t="str">
        <f t="shared" si="84"/>
        <v>0</v>
      </c>
      <c r="J372" t="str">
        <f t="shared" si="89"/>
        <v>00</v>
      </c>
      <c r="K372">
        <v>20141009</v>
      </c>
      <c r="L372" t="str">
        <f>"014496"</f>
        <v>014496</v>
      </c>
      <c r="M372" t="str">
        <f>"00274"</f>
        <v>00274</v>
      </c>
      <c r="N372" t="s">
        <v>372</v>
      </c>
      <c r="O372">
        <v>571.09</v>
      </c>
      <c r="Q372" t="s">
        <v>33</v>
      </c>
      <c r="R372" t="s">
        <v>34</v>
      </c>
      <c r="S372" t="s">
        <v>35</v>
      </c>
      <c r="T372" t="s">
        <v>35</v>
      </c>
      <c r="U372" t="s">
        <v>34</v>
      </c>
      <c r="V372" t="str">
        <f>""</f>
        <v/>
      </c>
      <c r="W372">
        <v>20141009</v>
      </c>
      <c r="X372" t="s">
        <v>246</v>
      </c>
      <c r="Y372" t="s">
        <v>373</v>
      </c>
      <c r="Z372" t="s">
        <v>373</v>
      </c>
      <c r="AA372">
        <v>0</v>
      </c>
      <c r="AB372" t="s">
        <v>142</v>
      </c>
      <c r="AC372" t="s">
        <v>41</v>
      </c>
      <c r="AD372" t="s">
        <v>40</v>
      </c>
      <c r="AE372" t="str">
        <f t="shared" si="94"/>
        <v>10</v>
      </c>
      <c r="AF372" t="s">
        <v>40</v>
      </c>
    </row>
    <row r="373" spans="1:32" x14ac:dyDescent="0.25">
      <c r="A373">
        <v>5</v>
      </c>
      <c r="B373">
        <v>420</v>
      </c>
      <c r="C373" t="str">
        <f>"51"</f>
        <v>51</v>
      </c>
      <c r="D373">
        <v>6259</v>
      </c>
      <c r="E373" t="str">
        <f>"50"</f>
        <v>50</v>
      </c>
      <c r="F373" t="str">
        <f>"999"</f>
        <v>999</v>
      </c>
      <c r="G373">
        <v>5</v>
      </c>
      <c r="H373" t="str">
        <f>"99"</f>
        <v>99</v>
      </c>
      <c r="I373" t="str">
        <f t="shared" si="84"/>
        <v>0</v>
      </c>
      <c r="J373" t="str">
        <f t="shared" si="89"/>
        <v>00</v>
      </c>
      <c r="K373">
        <v>20141009</v>
      </c>
      <c r="L373" t="str">
        <f>"014497"</f>
        <v>014497</v>
      </c>
      <c r="M373" t="str">
        <f>"00162"</f>
        <v>00162</v>
      </c>
      <c r="N373" t="s">
        <v>242</v>
      </c>
      <c r="O373">
        <v>694.28</v>
      </c>
      <c r="Q373" t="s">
        <v>33</v>
      </c>
      <c r="R373" t="s">
        <v>34</v>
      </c>
      <c r="S373" t="s">
        <v>35</v>
      </c>
      <c r="T373" t="s">
        <v>35</v>
      </c>
      <c r="U373" t="s">
        <v>34</v>
      </c>
      <c r="V373" t="str">
        <f>""</f>
        <v/>
      </c>
      <c r="W373">
        <v>20141009</v>
      </c>
      <c r="X373" t="s">
        <v>374</v>
      </c>
      <c r="Y373" t="s">
        <v>375</v>
      </c>
      <c r="Z373" t="s">
        <v>375</v>
      </c>
      <c r="AA373">
        <v>0</v>
      </c>
      <c r="AB373" t="s">
        <v>142</v>
      </c>
      <c r="AC373" t="s">
        <v>143</v>
      </c>
      <c r="AD373" t="s">
        <v>40</v>
      </c>
      <c r="AE373" t="str">
        <f t="shared" si="94"/>
        <v>10</v>
      </c>
      <c r="AF373" t="s">
        <v>40</v>
      </c>
    </row>
    <row r="374" spans="1:32" x14ac:dyDescent="0.25">
      <c r="A374">
        <v>5</v>
      </c>
      <c r="B374">
        <v>211</v>
      </c>
      <c r="C374" t="str">
        <f>"11"</f>
        <v>11</v>
      </c>
      <c r="D374">
        <v>6219</v>
      </c>
      <c r="E374" t="str">
        <f t="shared" ref="E374:E379" si="95">"00"</f>
        <v>00</v>
      </c>
      <c r="F374" t="str">
        <f>"001"</f>
        <v>001</v>
      </c>
      <c r="G374">
        <v>5</v>
      </c>
      <c r="H374" t="str">
        <f>"30"</f>
        <v>30</v>
      </c>
      <c r="I374" t="str">
        <f t="shared" si="84"/>
        <v>0</v>
      </c>
      <c r="J374" t="str">
        <f t="shared" si="89"/>
        <v>00</v>
      </c>
      <c r="K374">
        <v>20141009</v>
      </c>
      <c r="L374" t="str">
        <f>"014498"</f>
        <v>014498</v>
      </c>
      <c r="M374" t="str">
        <f>"00291"</f>
        <v>00291</v>
      </c>
      <c r="N374" t="s">
        <v>291</v>
      </c>
      <c r="O374">
        <v>125</v>
      </c>
      <c r="Q374" t="s">
        <v>33</v>
      </c>
      <c r="R374" t="s">
        <v>34</v>
      </c>
      <c r="S374" t="s">
        <v>35</v>
      </c>
      <c r="T374" t="s">
        <v>35</v>
      </c>
      <c r="U374" t="s">
        <v>34</v>
      </c>
      <c r="V374" t="str">
        <f>""</f>
        <v/>
      </c>
      <c r="W374">
        <v>20141009</v>
      </c>
      <c r="X374" t="s">
        <v>173</v>
      </c>
      <c r="Y374" t="s">
        <v>376</v>
      </c>
      <c r="Z374" t="s">
        <v>376</v>
      </c>
      <c r="AA374">
        <v>0</v>
      </c>
      <c r="AB374" t="s">
        <v>174</v>
      </c>
      <c r="AC374" t="s">
        <v>41</v>
      </c>
      <c r="AD374" t="s">
        <v>40</v>
      </c>
      <c r="AE374" t="str">
        <f t="shared" si="94"/>
        <v>10</v>
      </c>
      <c r="AF374" t="s">
        <v>40</v>
      </c>
    </row>
    <row r="375" spans="1:32" x14ac:dyDescent="0.25">
      <c r="A375">
        <v>5</v>
      </c>
      <c r="B375">
        <v>211</v>
      </c>
      <c r="C375" t="str">
        <f>"11"</f>
        <v>11</v>
      </c>
      <c r="D375">
        <v>6219</v>
      </c>
      <c r="E375" t="str">
        <f t="shared" si="95"/>
        <v>00</v>
      </c>
      <c r="F375" t="str">
        <f>"041"</f>
        <v>041</v>
      </c>
      <c r="G375">
        <v>5</v>
      </c>
      <c r="H375" t="str">
        <f>"30"</f>
        <v>30</v>
      </c>
      <c r="I375" t="str">
        <f t="shared" si="84"/>
        <v>0</v>
      </c>
      <c r="J375" t="str">
        <f t="shared" si="89"/>
        <v>00</v>
      </c>
      <c r="K375">
        <v>20141009</v>
      </c>
      <c r="L375" t="str">
        <f>"014498"</f>
        <v>014498</v>
      </c>
      <c r="M375" t="str">
        <f>"00291"</f>
        <v>00291</v>
      </c>
      <c r="N375" t="s">
        <v>291</v>
      </c>
      <c r="O375">
        <v>170</v>
      </c>
      <c r="Q375" t="s">
        <v>33</v>
      </c>
      <c r="R375" t="s">
        <v>34</v>
      </c>
      <c r="S375" t="s">
        <v>35</v>
      </c>
      <c r="T375" t="s">
        <v>35</v>
      </c>
      <c r="U375" t="s">
        <v>34</v>
      </c>
      <c r="V375" t="str">
        <f>""</f>
        <v/>
      </c>
      <c r="W375">
        <v>20141009</v>
      </c>
      <c r="X375" t="s">
        <v>175</v>
      </c>
      <c r="Y375" t="s">
        <v>376</v>
      </c>
      <c r="Z375" t="s">
        <v>376</v>
      </c>
      <c r="AA375">
        <v>0</v>
      </c>
      <c r="AB375" t="s">
        <v>174</v>
      </c>
      <c r="AC375" t="s">
        <v>41</v>
      </c>
      <c r="AD375" t="s">
        <v>40</v>
      </c>
      <c r="AE375" t="str">
        <f t="shared" si="94"/>
        <v>10</v>
      </c>
      <c r="AF375" t="s">
        <v>40</v>
      </c>
    </row>
    <row r="376" spans="1:32" x14ac:dyDescent="0.25">
      <c r="A376">
        <v>5</v>
      </c>
      <c r="B376">
        <v>211</v>
      </c>
      <c r="C376" t="str">
        <f>"11"</f>
        <v>11</v>
      </c>
      <c r="D376">
        <v>6219</v>
      </c>
      <c r="E376" t="str">
        <f t="shared" si="95"/>
        <v>00</v>
      </c>
      <c r="F376" t="str">
        <f>"101"</f>
        <v>101</v>
      </c>
      <c r="G376">
        <v>5</v>
      </c>
      <c r="H376" t="str">
        <f>"30"</f>
        <v>30</v>
      </c>
      <c r="I376" t="str">
        <f t="shared" si="84"/>
        <v>0</v>
      </c>
      <c r="J376" t="str">
        <f t="shared" si="89"/>
        <v>00</v>
      </c>
      <c r="K376">
        <v>20141009</v>
      </c>
      <c r="L376" t="str">
        <f>"014498"</f>
        <v>014498</v>
      </c>
      <c r="M376" t="str">
        <f>"00291"</f>
        <v>00291</v>
      </c>
      <c r="N376" t="s">
        <v>291</v>
      </c>
      <c r="O376">
        <v>705</v>
      </c>
      <c r="Q376" t="s">
        <v>33</v>
      </c>
      <c r="R376" t="s">
        <v>34</v>
      </c>
      <c r="S376" t="s">
        <v>35</v>
      </c>
      <c r="T376" t="s">
        <v>35</v>
      </c>
      <c r="U376" t="s">
        <v>34</v>
      </c>
      <c r="V376" t="str">
        <f>""</f>
        <v/>
      </c>
      <c r="W376">
        <v>20141009</v>
      </c>
      <c r="X376" t="s">
        <v>181</v>
      </c>
      <c r="Y376" t="s">
        <v>376</v>
      </c>
      <c r="Z376" t="s">
        <v>376</v>
      </c>
      <c r="AA376">
        <v>0</v>
      </c>
      <c r="AB376" t="s">
        <v>174</v>
      </c>
      <c r="AC376" t="s">
        <v>41</v>
      </c>
      <c r="AD376" t="s">
        <v>40</v>
      </c>
      <c r="AE376" t="str">
        <f t="shared" si="94"/>
        <v>10</v>
      </c>
      <c r="AF376" t="s">
        <v>40</v>
      </c>
    </row>
    <row r="377" spans="1:32" x14ac:dyDescent="0.25">
      <c r="A377">
        <v>5</v>
      </c>
      <c r="B377">
        <v>420</v>
      </c>
      <c r="C377" t="str">
        <f>"11"</f>
        <v>11</v>
      </c>
      <c r="D377">
        <v>6219</v>
      </c>
      <c r="E377" t="str">
        <f t="shared" si="95"/>
        <v>00</v>
      </c>
      <c r="F377" t="str">
        <f>"999"</f>
        <v>999</v>
      </c>
      <c r="G377">
        <v>5</v>
      </c>
      <c r="H377" t="str">
        <f>"11"</f>
        <v>11</v>
      </c>
      <c r="I377" t="str">
        <f t="shared" si="84"/>
        <v>0</v>
      </c>
      <c r="J377" t="str">
        <f t="shared" si="89"/>
        <v>00</v>
      </c>
      <c r="K377">
        <v>20141009</v>
      </c>
      <c r="L377" t="str">
        <f>"014498"</f>
        <v>014498</v>
      </c>
      <c r="M377" t="str">
        <f>"00291"</f>
        <v>00291</v>
      </c>
      <c r="N377" t="s">
        <v>291</v>
      </c>
      <c r="O377" s="1">
        <v>1045</v>
      </c>
      <c r="Q377" t="s">
        <v>33</v>
      </c>
      <c r="R377" t="s">
        <v>34</v>
      </c>
      <c r="S377" t="s">
        <v>35</v>
      </c>
      <c r="T377" t="s">
        <v>35</v>
      </c>
      <c r="U377" t="s">
        <v>34</v>
      </c>
      <c r="V377" t="str">
        <f>""</f>
        <v/>
      </c>
      <c r="W377">
        <v>20141009</v>
      </c>
      <c r="X377" t="s">
        <v>166</v>
      </c>
      <c r="Y377" t="s">
        <v>377</v>
      </c>
      <c r="Z377" t="s">
        <v>377</v>
      </c>
      <c r="AA377">
        <v>0</v>
      </c>
      <c r="AB377" t="s">
        <v>142</v>
      </c>
      <c r="AC377" t="s">
        <v>143</v>
      </c>
      <c r="AD377" t="s">
        <v>40</v>
      </c>
      <c r="AE377" t="str">
        <f t="shared" si="94"/>
        <v>10</v>
      </c>
      <c r="AF377" t="s">
        <v>40</v>
      </c>
    </row>
    <row r="378" spans="1:32" x14ac:dyDescent="0.25">
      <c r="A378">
        <v>5</v>
      </c>
      <c r="B378">
        <v>240</v>
      </c>
      <c r="C378" t="str">
        <f>"35"</f>
        <v>35</v>
      </c>
      <c r="D378">
        <v>6341</v>
      </c>
      <c r="E378" t="str">
        <f t="shared" si="95"/>
        <v>00</v>
      </c>
      <c r="F378" t="str">
        <f>"999"</f>
        <v>999</v>
      </c>
      <c r="G378">
        <v>5</v>
      </c>
      <c r="H378" t="str">
        <f>"99"</f>
        <v>99</v>
      </c>
      <c r="I378" t="str">
        <f t="shared" si="84"/>
        <v>0</v>
      </c>
      <c r="J378" t="str">
        <f t="shared" si="89"/>
        <v>00</v>
      </c>
      <c r="K378">
        <v>20141009</v>
      </c>
      <c r="L378" t="str">
        <f>"014499"</f>
        <v>014499</v>
      </c>
      <c r="M378" t="str">
        <f>"00391"</f>
        <v>00391</v>
      </c>
      <c r="N378" t="s">
        <v>265</v>
      </c>
      <c r="O378" s="1">
        <v>1578.01</v>
      </c>
      <c r="Q378" t="s">
        <v>33</v>
      </c>
      <c r="R378" t="s">
        <v>34</v>
      </c>
      <c r="S378" t="s">
        <v>35</v>
      </c>
      <c r="T378" t="s">
        <v>35</v>
      </c>
      <c r="U378" t="s">
        <v>34</v>
      </c>
      <c r="V378" t="str">
        <f>""</f>
        <v/>
      </c>
      <c r="W378">
        <v>20141008</v>
      </c>
      <c r="X378" t="s">
        <v>268</v>
      </c>
      <c r="Y378" t="s">
        <v>378</v>
      </c>
      <c r="Z378" t="s">
        <v>378</v>
      </c>
      <c r="AA378">
        <v>0</v>
      </c>
      <c r="AB378" t="s">
        <v>238</v>
      </c>
      <c r="AC378" t="s">
        <v>143</v>
      </c>
      <c r="AD378" t="s">
        <v>40</v>
      </c>
      <c r="AE378" t="str">
        <f t="shared" si="94"/>
        <v>10</v>
      </c>
      <c r="AF378" t="s">
        <v>40</v>
      </c>
    </row>
    <row r="379" spans="1:32" x14ac:dyDescent="0.25">
      <c r="A379">
        <v>5</v>
      </c>
      <c r="B379">
        <v>240</v>
      </c>
      <c r="C379" t="str">
        <f>"35"</f>
        <v>35</v>
      </c>
      <c r="D379">
        <v>6342</v>
      </c>
      <c r="E379" t="str">
        <f t="shared" si="95"/>
        <v>00</v>
      </c>
      <c r="F379" t="str">
        <f>"999"</f>
        <v>999</v>
      </c>
      <c r="G379">
        <v>5</v>
      </c>
      <c r="H379" t="str">
        <f>"99"</f>
        <v>99</v>
      </c>
      <c r="I379" t="str">
        <f t="shared" si="84"/>
        <v>0</v>
      </c>
      <c r="J379" t="str">
        <f t="shared" si="89"/>
        <v>00</v>
      </c>
      <c r="K379">
        <v>20141009</v>
      </c>
      <c r="L379" t="str">
        <f>"014499"</f>
        <v>014499</v>
      </c>
      <c r="M379" t="str">
        <f>"00391"</f>
        <v>00391</v>
      </c>
      <c r="N379" t="s">
        <v>265</v>
      </c>
      <c r="O379">
        <v>218.04</v>
      </c>
      <c r="Q379" t="s">
        <v>33</v>
      </c>
      <c r="R379" t="s">
        <v>34</v>
      </c>
      <c r="S379" t="s">
        <v>35</v>
      </c>
      <c r="T379" t="s">
        <v>35</v>
      </c>
      <c r="U379" t="s">
        <v>34</v>
      </c>
      <c r="V379" t="str">
        <f>""</f>
        <v/>
      </c>
      <c r="W379">
        <v>20141008</v>
      </c>
      <c r="X379" t="s">
        <v>269</v>
      </c>
      <c r="Y379" t="s">
        <v>378</v>
      </c>
      <c r="Z379" t="s">
        <v>378</v>
      </c>
      <c r="AA379">
        <v>0</v>
      </c>
      <c r="AB379" t="s">
        <v>238</v>
      </c>
      <c r="AC379" t="s">
        <v>143</v>
      </c>
      <c r="AD379" t="s">
        <v>40</v>
      </c>
      <c r="AE379" t="str">
        <f t="shared" si="94"/>
        <v>10</v>
      </c>
      <c r="AF379" t="s">
        <v>40</v>
      </c>
    </row>
    <row r="380" spans="1:32" x14ac:dyDescent="0.25">
      <c r="A380">
        <v>5</v>
      </c>
      <c r="B380">
        <v>420</v>
      </c>
      <c r="C380" t="str">
        <f>"51"</f>
        <v>51</v>
      </c>
      <c r="D380">
        <v>6259</v>
      </c>
      <c r="E380" t="str">
        <f>"54"</f>
        <v>54</v>
      </c>
      <c r="F380" t="str">
        <f>"999"</f>
        <v>999</v>
      </c>
      <c r="G380">
        <v>5</v>
      </c>
      <c r="H380" t="str">
        <f>"99"</f>
        <v>99</v>
      </c>
      <c r="I380" t="str">
        <f t="shared" si="84"/>
        <v>0</v>
      </c>
      <c r="J380" t="str">
        <f t="shared" si="89"/>
        <v>00</v>
      </c>
      <c r="K380">
        <v>20141009</v>
      </c>
      <c r="L380" t="str">
        <f>"014500"</f>
        <v>014500</v>
      </c>
      <c r="M380" t="str">
        <f>"00581"</f>
        <v>00581</v>
      </c>
      <c r="N380" t="s">
        <v>248</v>
      </c>
      <c r="O380">
        <v>484.46</v>
      </c>
      <c r="Q380" t="s">
        <v>33</v>
      </c>
      <c r="R380" t="s">
        <v>34</v>
      </c>
      <c r="S380" t="s">
        <v>35</v>
      </c>
      <c r="T380" t="s">
        <v>35</v>
      </c>
      <c r="U380" t="s">
        <v>34</v>
      </c>
      <c r="V380" t="str">
        <f>""</f>
        <v/>
      </c>
      <c r="W380">
        <v>20141008</v>
      </c>
      <c r="X380" t="s">
        <v>216</v>
      </c>
      <c r="Y380" t="s">
        <v>379</v>
      </c>
      <c r="Z380" t="s">
        <v>379</v>
      </c>
      <c r="AA380">
        <v>0</v>
      </c>
      <c r="AB380" t="s">
        <v>142</v>
      </c>
      <c r="AC380" t="s">
        <v>143</v>
      </c>
      <c r="AD380" t="s">
        <v>40</v>
      </c>
      <c r="AE380" t="str">
        <f t="shared" si="94"/>
        <v>10</v>
      </c>
      <c r="AF380" t="s">
        <v>40</v>
      </c>
    </row>
    <row r="381" spans="1:32" x14ac:dyDescent="0.25">
      <c r="A381">
        <v>5</v>
      </c>
      <c r="B381">
        <v>420</v>
      </c>
      <c r="C381" t="str">
        <f>"36"</f>
        <v>36</v>
      </c>
      <c r="D381">
        <v>6499</v>
      </c>
      <c r="E381" t="str">
        <f t="shared" ref="E381:E386" si="96">"00"</f>
        <v>00</v>
      </c>
      <c r="F381" t="str">
        <f>"001"</f>
        <v>001</v>
      </c>
      <c r="G381">
        <v>5</v>
      </c>
      <c r="H381" t="str">
        <f>"91"</f>
        <v>91</v>
      </c>
      <c r="I381" t="str">
        <f t="shared" si="84"/>
        <v>0</v>
      </c>
      <c r="J381" t="str">
        <f t="shared" si="89"/>
        <v>00</v>
      </c>
      <c r="K381">
        <v>20141009</v>
      </c>
      <c r="L381" t="str">
        <f>"014501"</f>
        <v>014501</v>
      </c>
      <c r="M381" t="str">
        <f>"00781"</f>
        <v>00781</v>
      </c>
      <c r="N381" t="s">
        <v>380</v>
      </c>
      <c r="O381">
        <v>100</v>
      </c>
      <c r="Q381" t="s">
        <v>33</v>
      </c>
      <c r="R381" t="s">
        <v>34</v>
      </c>
      <c r="S381" t="s">
        <v>35</v>
      </c>
      <c r="T381" t="s">
        <v>35</v>
      </c>
      <c r="U381" t="s">
        <v>34</v>
      </c>
      <c r="V381" t="str">
        <f>""</f>
        <v/>
      </c>
      <c r="W381">
        <v>20141008</v>
      </c>
      <c r="X381" t="s">
        <v>275</v>
      </c>
      <c r="Y381" t="s">
        <v>370</v>
      </c>
      <c r="Z381" t="s">
        <v>370</v>
      </c>
      <c r="AA381">
        <v>0</v>
      </c>
      <c r="AB381" t="s">
        <v>142</v>
      </c>
      <c r="AC381" t="s">
        <v>41</v>
      </c>
      <c r="AD381" t="s">
        <v>40</v>
      </c>
      <c r="AE381" t="str">
        <f t="shared" si="94"/>
        <v>10</v>
      </c>
      <c r="AF381" t="s">
        <v>40</v>
      </c>
    </row>
    <row r="382" spans="1:32" x14ac:dyDescent="0.25">
      <c r="A382">
        <v>5</v>
      </c>
      <c r="B382">
        <v>420</v>
      </c>
      <c r="C382" t="str">
        <f>"51"</f>
        <v>51</v>
      </c>
      <c r="D382">
        <v>6269</v>
      </c>
      <c r="E382" t="str">
        <f t="shared" si="96"/>
        <v>00</v>
      </c>
      <c r="F382" t="str">
        <f t="shared" ref="F382:F391" si="97">"999"</f>
        <v>999</v>
      </c>
      <c r="G382">
        <v>5</v>
      </c>
      <c r="H382" t="str">
        <f>"99"</f>
        <v>99</v>
      </c>
      <c r="I382" t="str">
        <f t="shared" si="84"/>
        <v>0</v>
      </c>
      <c r="J382" t="str">
        <f t="shared" si="89"/>
        <v>00</v>
      </c>
      <c r="K382">
        <v>20141009</v>
      </c>
      <c r="L382" t="str">
        <f>"014502"</f>
        <v>014502</v>
      </c>
      <c r="M382" t="str">
        <f>"00668"</f>
        <v>00668</v>
      </c>
      <c r="N382" t="s">
        <v>249</v>
      </c>
      <c r="O382">
        <v>195.5</v>
      </c>
      <c r="Q382" t="s">
        <v>33</v>
      </c>
      <c r="R382" t="s">
        <v>34</v>
      </c>
      <c r="S382" t="s">
        <v>35</v>
      </c>
      <c r="T382" t="s">
        <v>35</v>
      </c>
      <c r="U382" t="s">
        <v>34</v>
      </c>
      <c r="V382" t="str">
        <f>""</f>
        <v/>
      </c>
      <c r="W382">
        <v>20141008</v>
      </c>
      <c r="X382" t="s">
        <v>225</v>
      </c>
      <c r="Y382" t="s">
        <v>381</v>
      </c>
      <c r="Z382" t="s">
        <v>381</v>
      </c>
      <c r="AA382">
        <v>0</v>
      </c>
      <c r="AB382" t="s">
        <v>142</v>
      </c>
      <c r="AC382" t="s">
        <v>143</v>
      </c>
      <c r="AD382" t="s">
        <v>40</v>
      </c>
      <c r="AE382" t="str">
        <f t="shared" si="94"/>
        <v>10</v>
      </c>
      <c r="AF382" t="s">
        <v>40</v>
      </c>
    </row>
    <row r="383" spans="1:32" x14ac:dyDescent="0.25">
      <c r="A383">
        <v>5</v>
      </c>
      <c r="B383">
        <v>240</v>
      </c>
      <c r="C383" t="str">
        <f>"35"</f>
        <v>35</v>
      </c>
      <c r="D383">
        <v>6299</v>
      </c>
      <c r="E383" t="str">
        <f t="shared" si="96"/>
        <v>00</v>
      </c>
      <c r="F383" t="str">
        <f t="shared" si="97"/>
        <v>999</v>
      </c>
      <c r="G383">
        <v>5</v>
      </c>
      <c r="H383" t="str">
        <f>"99"</f>
        <v>99</v>
      </c>
      <c r="I383" t="str">
        <f t="shared" si="84"/>
        <v>0</v>
      </c>
      <c r="J383" t="str">
        <f t="shared" si="89"/>
        <v>00</v>
      </c>
      <c r="K383">
        <v>20141009</v>
      </c>
      <c r="L383" t="str">
        <f>"014503"</f>
        <v>014503</v>
      </c>
      <c r="M383" t="str">
        <f>"00577"</f>
        <v>00577</v>
      </c>
      <c r="N383" t="s">
        <v>251</v>
      </c>
      <c r="O383">
        <v>39.04</v>
      </c>
      <c r="Q383" t="s">
        <v>33</v>
      </c>
      <c r="R383" t="s">
        <v>34</v>
      </c>
      <c r="S383" t="s">
        <v>35</v>
      </c>
      <c r="T383" t="s">
        <v>35</v>
      </c>
      <c r="U383" t="s">
        <v>34</v>
      </c>
      <c r="V383" t="str">
        <f>""</f>
        <v/>
      </c>
      <c r="W383">
        <v>20141008</v>
      </c>
      <c r="X383" t="s">
        <v>252</v>
      </c>
      <c r="Y383" t="s">
        <v>382</v>
      </c>
      <c r="Z383" t="s">
        <v>382</v>
      </c>
      <c r="AA383">
        <v>0</v>
      </c>
      <c r="AB383" t="s">
        <v>238</v>
      </c>
      <c r="AC383" t="s">
        <v>143</v>
      </c>
      <c r="AD383" t="s">
        <v>40</v>
      </c>
      <c r="AE383" t="str">
        <f t="shared" si="94"/>
        <v>10</v>
      </c>
      <c r="AF383" t="s">
        <v>40</v>
      </c>
    </row>
    <row r="384" spans="1:32" x14ac:dyDescent="0.25">
      <c r="A384">
        <v>5</v>
      </c>
      <c r="B384">
        <v>420</v>
      </c>
      <c r="C384" t="str">
        <f>"51"</f>
        <v>51</v>
      </c>
      <c r="D384">
        <v>6299</v>
      </c>
      <c r="E384" t="str">
        <f t="shared" si="96"/>
        <v>00</v>
      </c>
      <c r="F384" t="str">
        <f t="shared" si="97"/>
        <v>999</v>
      </c>
      <c r="G384">
        <v>5</v>
      </c>
      <c r="H384" t="str">
        <f>"99"</f>
        <v>99</v>
      </c>
      <c r="I384" t="str">
        <f t="shared" si="84"/>
        <v>0</v>
      </c>
      <c r="J384" t="str">
        <f t="shared" si="89"/>
        <v>00</v>
      </c>
      <c r="K384">
        <v>20141009</v>
      </c>
      <c r="L384" t="str">
        <f>"014503"</f>
        <v>014503</v>
      </c>
      <c r="M384" t="str">
        <f>"00577"</f>
        <v>00577</v>
      </c>
      <c r="N384" t="s">
        <v>251</v>
      </c>
      <c r="O384">
        <v>63.72</v>
      </c>
      <c r="Q384" t="s">
        <v>33</v>
      </c>
      <c r="R384" t="s">
        <v>34</v>
      </c>
      <c r="S384" t="s">
        <v>35</v>
      </c>
      <c r="T384" t="s">
        <v>35</v>
      </c>
      <c r="U384" t="s">
        <v>34</v>
      </c>
      <c r="V384" t="str">
        <f>""</f>
        <v/>
      </c>
      <c r="W384">
        <v>20141008</v>
      </c>
      <c r="X384" t="s">
        <v>203</v>
      </c>
      <c r="Y384" t="s">
        <v>382</v>
      </c>
      <c r="Z384" t="s">
        <v>382</v>
      </c>
      <c r="AA384">
        <v>0</v>
      </c>
      <c r="AB384" t="s">
        <v>142</v>
      </c>
      <c r="AC384" t="s">
        <v>143</v>
      </c>
      <c r="AD384" t="s">
        <v>40</v>
      </c>
      <c r="AE384" t="str">
        <f t="shared" si="94"/>
        <v>10</v>
      </c>
      <c r="AF384" t="s">
        <v>40</v>
      </c>
    </row>
    <row r="385" spans="1:32" x14ac:dyDescent="0.25">
      <c r="A385">
        <v>5</v>
      </c>
      <c r="B385">
        <v>420</v>
      </c>
      <c r="C385" t="str">
        <f>"51"</f>
        <v>51</v>
      </c>
      <c r="D385">
        <v>6319</v>
      </c>
      <c r="E385" t="str">
        <f t="shared" si="96"/>
        <v>00</v>
      </c>
      <c r="F385" t="str">
        <f t="shared" si="97"/>
        <v>999</v>
      </c>
      <c r="G385">
        <v>5</v>
      </c>
      <c r="H385" t="str">
        <f>"99"</f>
        <v>99</v>
      </c>
      <c r="I385" t="str">
        <f t="shared" si="84"/>
        <v>0</v>
      </c>
      <c r="J385" t="str">
        <f t="shared" si="89"/>
        <v>00</v>
      </c>
      <c r="K385">
        <v>20141016</v>
      </c>
      <c r="L385" t="str">
        <f>"014504"</f>
        <v>014504</v>
      </c>
      <c r="M385" t="str">
        <f>"00044"</f>
        <v>00044</v>
      </c>
      <c r="N385" t="s">
        <v>257</v>
      </c>
      <c r="O385">
        <v>94.7</v>
      </c>
      <c r="Q385" t="s">
        <v>33</v>
      </c>
      <c r="R385" t="s">
        <v>34</v>
      </c>
      <c r="S385" t="s">
        <v>35</v>
      </c>
      <c r="T385" t="s">
        <v>35</v>
      </c>
      <c r="U385" t="s">
        <v>34</v>
      </c>
      <c r="V385" t="str">
        <f>""</f>
        <v/>
      </c>
      <c r="W385">
        <v>20141016</v>
      </c>
      <c r="X385" t="s">
        <v>185</v>
      </c>
      <c r="Y385" t="s">
        <v>383</v>
      </c>
      <c r="Z385" t="s">
        <v>383</v>
      </c>
      <c r="AA385">
        <v>0</v>
      </c>
      <c r="AB385" t="s">
        <v>142</v>
      </c>
      <c r="AC385" t="s">
        <v>143</v>
      </c>
      <c r="AD385" t="s">
        <v>40</v>
      </c>
      <c r="AE385" t="str">
        <f t="shared" ref="AE385:AE416" si="98">"10"</f>
        <v>10</v>
      </c>
      <c r="AF385" t="s">
        <v>40</v>
      </c>
    </row>
    <row r="386" spans="1:32" x14ac:dyDescent="0.25">
      <c r="A386">
        <v>5</v>
      </c>
      <c r="B386">
        <v>420</v>
      </c>
      <c r="C386" t="str">
        <f>"11"</f>
        <v>11</v>
      </c>
      <c r="D386">
        <v>6399</v>
      </c>
      <c r="E386" t="str">
        <f t="shared" si="96"/>
        <v>00</v>
      </c>
      <c r="F386" t="str">
        <f t="shared" si="97"/>
        <v>999</v>
      </c>
      <c r="G386">
        <v>5</v>
      </c>
      <c r="H386" t="str">
        <f>"11"</f>
        <v>11</v>
      </c>
      <c r="I386" t="str">
        <f t="shared" ref="I386:I449" si="99">"0"</f>
        <v>0</v>
      </c>
      <c r="J386" t="str">
        <f t="shared" si="89"/>
        <v>00</v>
      </c>
      <c r="K386">
        <v>20141016</v>
      </c>
      <c r="L386" t="str">
        <f>"014505"</f>
        <v>014505</v>
      </c>
      <c r="M386" t="str">
        <f>"00066"</f>
        <v>00066</v>
      </c>
      <c r="N386" t="s">
        <v>384</v>
      </c>
      <c r="O386">
        <v>127</v>
      </c>
      <c r="Q386" t="s">
        <v>33</v>
      </c>
      <c r="R386" t="s">
        <v>34</v>
      </c>
      <c r="S386" t="s">
        <v>35</v>
      </c>
      <c r="T386" t="s">
        <v>35</v>
      </c>
      <c r="U386" t="s">
        <v>34</v>
      </c>
      <c r="V386" t="str">
        <f>""</f>
        <v/>
      </c>
      <c r="W386">
        <v>20141016</v>
      </c>
      <c r="X386" t="s">
        <v>385</v>
      </c>
      <c r="Y386" t="s">
        <v>386</v>
      </c>
      <c r="Z386" t="s">
        <v>386</v>
      </c>
      <c r="AA386">
        <v>0</v>
      </c>
      <c r="AB386" t="s">
        <v>142</v>
      </c>
      <c r="AC386" t="s">
        <v>143</v>
      </c>
      <c r="AD386" t="s">
        <v>40</v>
      </c>
      <c r="AE386" t="str">
        <f t="shared" si="98"/>
        <v>10</v>
      </c>
      <c r="AF386" t="s">
        <v>40</v>
      </c>
    </row>
    <row r="387" spans="1:32" x14ac:dyDescent="0.25">
      <c r="A387">
        <v>5</v>
      </c>
      <c r="B387">
        <v>420</v>
      </c>
      <c r="C387" t="str">
        <f>"51"</f>
        <v>51</v>
      </c>
      <c r="D387">
        <v>6259</v>
      </c>
      <c r="E387" t="str">
        <f>"55"</f>
        <v>55</v>
      </c>
      <c r="F387" t="str">
        <f t="shared" si="97"/>
        <v>999</v>
      </c>
      <c r="G387">
        <v>5</v>
      </c>
      <c r="H387" t="str">
        <f>"99"</f>
        <v>99</v>
      </c>
      <c r="I387" t="str">
        <f t="shared" si="99"/>
        <v>0</v>
      </c>
      <c r="J387" t="str">
        <f t="shared" si="89"/>
        <v>00</v>
      </c>
      <c r="K387">
        <v>20141016</v>
      </c>
      <c r="L387" t="str">
        <f>"014506"</f>
        <v>014506</v>
      </c>
      <c r="M387" t="str">
        <f>"00075"</f>
        <v>00075</v>
      </c>
      <c r="N387" t="s">
        <v>259</v>
      </c>
      <c r="O387">
        <v>44.43</v>
      </c>
      <c r="Q387" t="s">
        <v>33</v>
      </c>
      <c r="R387" t="s">
        <v>34</v>
      </c>
      <c r="S387" t="s">
        <v>35</v>
      </c>
      <c r="T387" t="s">
        <v>35</v>
      </c>
      <c r="U387" t="s">
        <v>34</v>
      </c>
      <c r="V387" t="str">
        <f>""</f>
        <v/>
      </c>
      <c r="W387">
        <v>20141016</v>
      </c>
      <c r="X387" t="s">
        <v>243</v>
      </c>
      <c r="Y387" t="s">
        <v>244</v>
      </c>
      <c r="Z387" t="s">
        <v>244</v>
      </c>
      <c r="AA387">
        <v>0</v>
      </c>
      <c r="AB387" t="s">
        <v>142</v>
      </c>
      <c r="AC387" t="s">
        <v>143</v>
      </c>
      <c r="AD387" t="s">
        <v>40</v>
      </c>
      <c r="AE387" t="str">
        <f t="shared" si="98"/>
        <v>10</v>
      </c>
      <c r="AF387" t="s">
        <v>40</v>
      </c>
    </row>
    <row r="388" spans="1:32" x14ac:dyDescent="0.25">
      <c r="A388">
        <v>5</v>
      </c>
      <c r="B388">
        <v>420</v>
      </c>
      <c r="C388" t="str">
        <f>"51"</f>
        <v>51</v>
      </c>
      <c r="D388">
        <v>6259</v>
      </c>
      <c r="E388" t="str">
        <f>"55"</f>
        <v>55</v>
      </c>
      <c r="F388" t="str">
        <f t="shared" si="97"/>
        <v>999</v>
      </c>
      <c r="G388">
        <v>5</v>
      </c>
      <c r="H388" t="str">
        <f>"99"</f>
        <v>99</v>
      </c>
      <c r="I388" t="str">
        <f t="shared" si="99"/>
        <v>0</v>
      </c>
      <c r="J388" t="str">
        <f t="shared" si="89"/>
        <v>00</v>
      </c>
      <c r="K388">
        <v>20141016</v>
      </c>
      <c r="L388" t="str">
        <f>"014506"</f>
        <v>014506</v>
      </c>
      <c r="M388" t="str">
        <f>"00075"</f>
        <v>00075</v>
      </c>
      <c r="N388" t="s">
        <v>259</v>
      </c>
      <c r="O388">
        <v>176.19</v>
      </c>
      <c r="Q388" t="s">
        <v>33</v>
      </c>
      <c r="R388" t="s">
        <v>34</v>
      </c>
      <c r="S388" t="s">
        <v>35</v>
      </c>
      <c r="T388" t="s">
        <v>35</v>
      </c>
      <c r="U388" t="s">
        <v>34</v>
      </c>
      <c r="V388" t="str">
        <f>""</f>
        <v/>
      </c>
      <c r="W388">
        <v>20141016</v>
      </c>
      <c r="X388" t="s">
        <v>243</v>
      </c>
      <c r="Y388" t="s">
        <v>244</v>
      </c>
      <c r="Z388" t="s">
        <v>244</v>
      </c>
      <c r="AA388">
        <v>0</v>
      </c>
      <c r="AB388" t="s">
        <v>142</v>
      </c>
      <c r="AC388" t="s">
        <v>143</v>
      </c>
      <c r="AD388" t="s">
        <v>40</v>
      </c>
      <c r="AE388" t="str">
        <f t="shared" si="98"/>
        <v>10</v>
      </c>
      <c r="AF388" t="s">
        <v>40</v>
      </c>
    </row>
    <row r="389" spans="1:32" x14ac:dyDescent="0.25">
      <c r="A389">
        <v>5</v>
      </c>
      <c r="B389">
        <v>420</v>
      </c>
      <c r="C389" t="str">
        <f>"11"</f>
        <v>11</v>
      </c>
      <c r="D389">
        <v>6219</v>
      </c>
      <c r="E389" t="str">
        <f t="shared" ref="E389:E407" si="100">"00"</f>
        <v>00</v>
      </c>
      <c r="F389" t="str">
        <f t="shared" si="97"/>
        <v>999</v>
      </c>
      <c r="G389">
        <v>5</v>
      </c>
      <c r="H389" t="str">
        <f>"11"</f>
        <v>11</v>
      </c>
      <c r="I389" t="str">
        <f t="shared" si="99"/>
        <v>0</v>
      </c>
      <c r="J389" t="str">
        <f t="shared" si="89"/>
        <v>00</v>
      </c>
      <c r="K389">
        <v>20141016</v>
      </c>
      <c r="L389" t="str">
        <f>"014507"</f>
        <v>014507</v>
      </c>
      <c r="M389" t="str">
        <f>"00094"</f>
        <v>00094</v>
      </c>
      <c r="N389" t="s">
        <v>387</v>
      </c>
      <c r="O389">
        <v>579.6</v>
      </c>
      <c r="Q389" t="s">
        <v>33</v>
      </c>
      <c r="R389" t="s">
        <v>34</v>
      </c>
      <c r="S389" t="s">
        <v>35</v>
      </c>
      <c r="T389" t="s">
        <v>35</v>
      </c>
      <c r="U389" t="s">
        <v>34</v>
      </c>
      <c r="V389" t="str">
        <f>""</f>
        <v/>
      </c>
      <c r="W389">
        <v>20141016</v>
      </c>
      <c r="X389" t="s">
        <v>166</v>
      </c>
      <c r="Y389" t="s">
        <v>388</v>
      </c>
      <c r="Z389" t="s">
        <v>388</v>
      </c>
      <c r="AA389">
        <v>0</v>
      </c>
      <c r="AB389" t="s">
        <v>142</v>
      </c>
      <c r="AC389" t="s">
        <v>143</v>
      </c>
      <c r="AD389" t="s">
        <v>40</v>
      </c>
      <c r="AE389" t="str">
        <f t="shared" si="98"/>
        <v>10</v>
      </c>
      <c r="AF389" t="s">
        <v>40</v>
      </c>
    </row>
    <row r="390" spans="1:32" x14ac:dyDescent="0.25">
      <c r="A390">
        <v>5</v>
      </c>
      <c r="B390">
        <v>420</v>
      </c>
      <c r="C390" t="str">
        <f>"51"</f>
        <v>51</v>
      </c>
      <c r="D390">
        <v>6219</v>
      </c>
      <c r="E390" t="str">
        <f t="shared" si="100"/>
        <v>00</v>
      </c>
      <c r="F390" t="str">
        <f t="shared" si="97"/>
        <v>999</v>
      </c>
      <c r="G390">
        <v>5</v>
      </c>
      <c r="H390" t="str">
        <f>"99"</f>
        <v>99</v>
      </c>
      <c r="I390" t="str">
        <f t="shared" si="99"/>
        <v>0</v>
      </c>
      <c r="J390" t="str">
        <f t="shared" si="89"/>
        <v>00</v>
      </c>
      <c r="K390">
        <v>20141016</v>
      </c>
      <c r="L390" t="str">
        <f>"014507"</f>
        <v>014507</v>
      </c>
      <c r="M390" t="str">
        <f>"00094"</f>
        <v>00094</v>
      </c>
      <c r="N390" t="s">
        <v>387</v>
      </c>
      <c r="O390">
        <v>579.6</v>
      </c>
      <c r="Q390" t="s">
        <v>33</v>
      </c>
      <c r="R390" t="s">
        <v>34</v>
      </c>
      <c r="S390" t="s">
        <v>35</v>
      </c>
      <c r="T390" t="s">
        <v>35</v>
      </c>
      <c r="U390" t="s">
        <v>34</v>
      </c>
      <c r="V390" t="str">
        <f>""</f>
        <v/>
      </c>
      <c r="W390">
        <v>20141016</v>
      </c>
      <c r="X390" t="s">
        <v>183</v>
      </c>
      <c r="Y390" t="s">
        <v>388</v>
      </c>
      <c r="Z390" t="s">
        <v>388</v>
      </c>
      <c r="AA390">
        <v>0</v>
      </c>
      <c r="AB390" t="s">
        <v>142</v>
      </c>
      <c r="AC390" t="s">
        <v>143</v>
      </c>
      <c r="AD390" t="s">
        <v>40</v>
      </c>
      <c r="AE390" t="str">
        <f t="shared" si="98"/>
        <v>10</v>
      </c>
      <c r="AF390" t="s">
        <v>40</v>
      </c>
    </row>
    <row r="391" spans="1:32" x14ac:dyDescent="0.25">
      <c r="A391">
        <v>5</v>
      </c>
      <c r="B391">
        <v>420</v>
      </c>
      <c r="C391" t="str">
        <f>"11"</f>
        <v>11</v>
      </c>
      <c r="D391">
        <v>6269</v>
      </c>
      <c r="E391" t="str">
        <f t="shared" si="100"/>
        <v>00</v>
      </c>
      <c r="F391" t="str">
        <f t="shared" si="97"/>
        <v>999</v>
      </c>
      <c r="G391">
        <v>5</v>
      </c>
      <c r="H391" t="str">
        <f>"11"</f>
        <v>11</v>
      </c>
      <c r="I391" t="str">
        <f t="shared" si="99"/>
        <v>0</v>
      </c>
      <c r="J391" t="str">
        <f t="shared" si="89"/>
        <v>00</v>
      </c>
      <c r="K391">
        <v>20141016</v>
      </c>
      <c r="L391" t="str">
        <f>"014508"</f>
        <v>014508</v>
      </c>
      <c r="M391" t="str">
        <f>"00218"</f>
        <v>00218</v>
      </c>
      <c r="N391" t="s">
        <v>230</v>
      </c>
      <c r="O391">
        <v>136.25</v>
      </c>
      <c r="Q391" t="s">
        <v>33</v>
      </c>
      <c r="R391" t="s">
        <v>34</v>
      </c>
      <c r="S391" t="s">
        <v>35</v>
      </c>
      <c r="T391" t="s">
        <v>35</v>
      </c>
      <c r="U391" t="s">
        <v>34</v>
      </c>
      <c r="V391" t="str">
        <f>""</f>
        <v/>
      </c>
      <c r="W391">
        <v>20141016</v>
      </c>
      <c r="X391" t="s">
        <v>213</v>
      </c>
      <c r="Y391" t="s">
        <v>231</v>
      </c>
      <c r="Z391" t="s">
        <v>231</v>
      </c>
      <c r="AA391">
        <v>0</v>
      </c>
      <c r="AB391" t="s">
        <v>142</v>
      </c>
      <c r="AC391" t="s">
        <v>143</v>
      </c>
      <c r="AD391" t="s">
        <v>40</v>
      </c>
      <c r="AE391" t="str">
        <f t="shared" si="98"/>
        <v>10</v>
      </c>
      <c r="AF391" t="s">
        <v>40</v>
      </c>
    </row>
    <row r="392" spans="1:32" x14ac:dyDescent="0.25">
      <c r="A392">
        <v>5</v>
      </c>
      <c r="B392">
        <v>420</v>
      </c>
      <c r="C392" t="str">
        <f>"13"</f>
        <v>13</v>
      </c>
      <c r="D392">
        <v>6399</v>
      </c>
      <c r="E392" t="str">
        <f t="shared" si="100"/>
        <v>00</v>
      </c>
      <c r="F392" t="str">
        <f>"001"</f>
        <v>001</v>
      </c>
      <c r="G392">
        <v>5</v>
      </c>
      <c r="H392" t="str">
        <f>"11"</f>
        <v>11</v>
      </c>
      <c r="I392" t="str">
        <f t="shared" si="99"/>
        <v>0</v>
      </c>
      <c r="J392" t="str">
        <f t="shared" si="89"/>
        <v>00</v>
      </c>
      <c r="K392">
        <v>20141016</v>
      </c>
      <c r="L392" t="str">
        <f>"014509"</f>
        <v>014509</v>
      </c>
      <c r="M392" t="str">
        <f>"00236"</f>
        <v>00236</v>
      </c>
      <c r="N392" t="s">
        <v>389</v>
      </c>
      <c r="O392">
        <v>65.75</v>
      </c>
      <c r="Q392" t="s">
        <v>33</v>
      </c>
      <c r="R392" t="s">
        <v>34</v>
      </c>
      <c r="S392" t="s">
        <v>35</v>
      </c>
      <c r="T392" t="s">
        <v>35</v>
      </c>
      <c r="U392" t="s">
        <v>34</v>
      </c>
      <c r="V392" t="str">
        <f>""</f>
        <v/>
      </c>
      <c r="W392">
        <v>20141016</v>
      </c>
      <c r="X392" t="s">
        <v>390</v>
      </c>
      <c r="Y392" t="s">
        <v>391</v>
      </c>
      <c r="Z392" t="s">
        <v>391</v>
      </c>
      <c r="AA392">
        <v>0</v>
      </c>
      <c r="AB392" t="s">
        <v>142</v>
      </c>
      <c r="AC392" t="s">
        <v>41</v>
      </c>
      <c r="AD392" t="s">
        <v>40</v>
      </c>
      <c r="AE392" t="str">
        <f t="shared" si="98"/>
        <v>10</v>
      </c>
      <c r="AF392" t="s">
        <v>40</v>
      </c>
    </row>
    <row r="393" spans="1:32" x14ac:dyDescent="0.25">
      <c r="A393">
        <v>5</v>
      </c>
      <c r="B393">
        <v>420</v>
      </c>
      <c r="C393" t="str">
        <f>"13"</f>
        <v>13</v>
      </c>
      <c r="D393">
        <v>6399</v>
      </c>
      <c r="E393" t="str">
        <f t="shared" si="100"/>
        <v>00</v>
      </c>
      <c r="F393" t="str">
        <f>"041"</f>
        <v>041</v>
      </c>
      <c r="G393">
        <v>5</v>
      </c>
      <c r="H393" t="str">
        <f>"11"</f>
        <v>11</v>
      </c>
      <c r="I393" t="str">
        <f t="shared" si="99"/>
        <v>0</v>
      </c>
      <c r="J393" t="str">
        <f t="shared" si="89"/>
        <v>00</v>
      </c>
      <c r="K393">
        <v>20141016</v>
      </c>
      <c r="L393" t="str">
        <f>"014509"</f>
        <v>014509</v>
      </c>
      <c r="M393" t="str">
        <f>"00236"</f>
        <v>00236</v>
      </c>
      <c r="N393" t="s">
        <v>389</v>
      </c>
      <c r="O393">
        <v>20.5</v>
      </c>
      <c r="Q393" t="s">
        <v>33</v>
      </c>
      <c r="R393" t="s">
        <v>34</v>
      </c>
      <c r="S393" t="s">
        <v>35</v>
      </c>
      <c r="T393" t="s">
        <v>35</v>
      </c>
      <c r="U393" t="s">
        <v>34</v>
      </c>
      <c r="V393" t="str">
        <f>""</f>
        <v/>
      </c>
      <c r="W393">
        <v>20141016</v>
      </c>
      <c r="X393" t="s">
        <v>392</v>
      </c>
      <c r="Y393" t="s">
        <v>391</v>
      </c>
      <c r="Z393" t="s">
        <v>391</v>
      </c>
      <c r="AA393">
        <v>0</v>
      </c>
      <c r="AB393" t="s">
        <v>142</v>
      </c>
      <c r="AC393" t="s">
        <v>41</v>
      </c>
      <c r="AD393" t="s">
        <v>40</v>
      </c>
      <c r="AE393" t="str">
        <f t="shared" si="98"/>
        <v>10</v>
      </c>
      <c r="AF393" t="s">
        <v>40</v>
      </c>
    </row>
    <row r="394" spans="1:32" x14ac:dyDescent="0.25">
      <c r="A394">
        <v>5</v>
      </c>
      <c r="B394">
        <v>420</v>
      </c>
      <c r="C394" t="str">
        <f>"13"</f>
        <v>13</v>
      </c>
      <c r="D394">
        <v>6399</v>
      </c>
      <c r="E394" t="str">
        <f t="shared" si="100"/>
        <v>00</v>
      </c>
      <c r="F394" t="str">
        <f>"101"</f>
        <v>101</v>
      </c>
      <c r="G394">
        <v>5</v>
      </c>
      <c r="H394" t="str">
        <f>"11"</f>
        <v>11</v>
      </c>
      <c r="I394" t="str">
        <f t="shared" si="99"/>
        <v>0</v>
      </c>
      <c r="J394" t="str">
        <f t="shared" si="89"/>
        <v>00</v>
      </c>
      <c r="K394">
        <v>20141016</v>
      </c>
      <c r="L394" t="str">
        <f>"014509"</f>
        <v>014509</v>
      </c>
      <c r="M394" t="str">
        <f>"00236"</f>
        <v>00236</v>
      </c>
      <c r="N394" t="s">
        <v>389</v>
      </c>
      <c r="O394">
        <v>16.5</v>
      </c>
      <c r="Q394" t="s">
        <v>33</v>
      </c>
      <c r="R394" t="s">
        <v>34</v>
      </c>
      <c r="S394" t="s">
        <v>35</v>
      </c>
      <c r="T394" t="s">
        <v>35</v>
      </c>
      <c r="U394" t="s">
        <v>34</v>
      </c>
      <c r="V394" t="str">
        <f>""</f>
        <v/>
      </c>
      <c r="W394">
        <v>20141016</v>
      </c>
      <c r="X394" t="s">
        <v>393</v>
      </c>
      <c r="Y394" t="s">
        <v>391</v>
      </c>
      <c r="Z394" t="s">
        <v>391</v>
      </c>
      <c r="AA394">
        <v>0</v>
      </c>
      <c r="AB394" t="s">
        <v>142</v>
      </c>
      <c r="AC394" t="s">
        <v>41</v>
      </c>
      <c r="AD394" t="s">
        <v>40</v>
      </c>
      <c r="AE394" t="str">
        <f t="shared" si="98"/>
        <v>10</v>
      </c>
      <c r="AF394" t="s">
        <v>40</v>
      </c>
    </row>
    <row r="395" spans="1:32" x14ac:dyDescent="0.25">
      <c r="A395">
        <v>5</v>
      </c>
      <c r="B395">
        <v>255</v>
      </c>
      <c r="C395" t="str">
        <f>"11"</f>
        <v>11</v>
      </c>
      <c r="D395">
        <v>6219</v>
      </c>
      <c r="E395" t="str">
        <f t="shared" si="100"/>
        <v>00</v>
      </c>
      <c r="F395" t="str">
        <f>"999"</f>
        <v>999</v>
      </c>
      <c r="G395">
        <v>5</v>
      </c>
      <c r="H395" t="str">
        <f>"30"</f>
        <v>30</v>
      </c>
      <c r="I395" t="str">
        <f t="shared" si="99"/>
        <v>0</v>
      </c>
      <c r="J395" t="str">
        <f t="shared" si="89"/>
        <v>00</v>
      </c>
      <c r="K395">
        <v>20141016</v>
      </c>
      <c r="L395" t="str">
        <f>"014510"</f>
        <v>014510</v>
      </c>
      <c r="M395" t="str">
        <f>"00291"</f>
        <v>00291</v>
      </c>
      <c r="N395" t="s">
        <v>291</v>
      </c>
      <c r="O395">
        <v>500</v>
      </c>
      <c r="Q395" t="s">
        <v>33</v>
      </c>
      <c r="R395" t="s">
        <v>34</v>
      </c>
      <c r="S395" t="s">
        <v>35</v>
      </c>
      <c r="T395" t="s">
        <v>35</v>
      </c>
      <c r="U395" t="s">
        <v>34</v>
      </c>
      <c r="V395" t="str">
        <f>""</f>
        <v/>
      </c>
      <c r="W395">
        <v>20141016</v>
      </c>
      <c r="X395" t="s">
        <v>177</v>
      </c>
      <c r="Y395" t="s">
        <v>394</v>
      </c>
      <c r="Z395" t="s">
        <v>394</v>
      </c>
      <c r="AA395">
        <v>0</v>
      </c>
      <c r="AB395" t="s">
        <v>178</v>
      </c>
      <c r="AC395" t="s">
        <v>143</v>
      </c>
      <c r="AD395" t="s">
        <v>40</v>
      </c>
      <c r="AE395" t="str">
        <f t="shared" si="98"/>
        <v>10</v>
      </c>
      <c r="AF395" t="s">
        <v>40</v>
      </c>
    </row>
    <row r="396" spans="1:32" x14ac:dyDescent="0.25">
      <c r="A396">
        <v>5</v>
      </c>
      <c r="B396">
        <v>255</v>
      </c>
      <c r="C396" t="str">
        <f>"11"</f>
        <v>11</v>
      </c>
      <c r="D396">
        <v>6219</v>
      </c>
      <c r="E396" t="str">
        <f t="shared" si="100"/>
        <v>00</v>
      </c>
      <c r="F396" t="str">
        <f>"999"</f>
        <v>999</v>
      </c>
      <c r="G396">
        <v>5</v>
      </c>
      <c r="H396" t="str">
        <f>"30"</f>
        <v>30</v>
      </c>
      <c r="I396" t="str">
        <f t="shared" si="99"/>
        <v>0</v>
      </c>
      <c r="J396" t="str">
        <f t="shared" si="89"/>
        <v>00</v>
      </c>
      <c r="K396">
        <v>20141016</v>
      </c>
      <c r="L396" t="str">
        <f>"014510"</f>
        <v>014510</v>
      </c>
      <c r="M396" t="str">
        <f>"00291"</f>
        <v>00291</v>
      </c>
      <c r="N396" t="s">
        <v>291</v>
      </c>
      <c r="O396">
        <v>816</v>
      </c>
      <c r="Q396" t="s">
        <v>33</v>
      </c>
      <c r="R396" t="s">
        <v>34</v>
      </c>
      <c r="S396" t="s">
        <v>35</v>
      </c>
      <c r="T396" t="s">
        <v>35</v>
      </c>
      <c r="U396" t="s">
        <v>34</v>
      </c>
      <c r="V396" t="str">
        <f>""</f>
        <v/>
      </c>
      <c r="W396">
        <v>20141016</v>
      </c>
      <c r="X396" t="s">
        <v>177</v>
      </c>
      <c r="Y396" t="s">
        <v>395</v>
      </c>
      <c r="Z396" t="s">
        <v>395</v>
      </c>
      <c r="AA396">
        <v>0</v>
      </c>
      <c r="AB396" t="s">
        <v>178</v>
      </c>
      <c r="AC396" t="s">
        <v>143</v>
      </c>
      <c r="AD396" t="s">
        <v>40</v>
      </c>
      <c r="AE396" t="str">
        <f t="shared" si="98"/>
        <v>10</v>
      </c>
      <c r="AF396" t="s">
        <v>40</v>
      </c>
    </row>
    <row r="397" spans="1:32" x14ac:dyDescent="0.25">
      <c r="A397">
        <v>5</v>
      </c>
      <c r="B397">
        <v>255</v>
      </c>
      <c r="C397" t="str">
        <f>"11"</f>
        <v>11</v>
      </c>
      <c r="D397">
        <v>6219</v>
      </c>
      <c r="E397" t="str">
        <f t="shared" si="100"/>
        <v>00</v>
      </c>
      <c r="F397" t="str">
        <f>"999"</f>
        <v>999</v>
      </c>
      <c r="G397">
        <v>5</v>
      </c>
      <c r="H397" t="str">
        <f>"30"</f>
        <v>30</v>
      </c>
      <c r="I397" t="str">
        <f t="shared" si="99"/>
        <v>0</v>
      </c>
      <c r="J397" t="str">
        <f t="shared" si="89"/>
        <v>00</v>
      </c>
      <c r="K397">
        <v>20141016</v>
      </c>
      <c r="L397" t="str">
        <f>"014510"</f>
        <v>014510</v>
      </c>
      <c r="M397" t="str">
        <f>"00291"</f>
        <v>00291</v>
      </c>
      <c r="N397" t="s">
        <v>291</v>
      </c>
      <c r="O397">
        <v>900</v>
      </c>
      <c r="Q397" t="s">
        <v>33</v>
      </c>
      <c r="R397" t="s">
        <v>34</v>
      </c>
      <c r="S397" t="s">
        <v>35</v>
      </c>
      <c r="T397" t="s">
        <v>35</v>
      </c>
      <c r="U397" t="s">
        <v>34</v>
      </c>
      <c r="V397" t="str">
        <f>""</f>
        <v/>
      </c>
      <c r="W397">
        <v>20141016</v>
      </c>
      <c r="X397" t="s">
        <v>177</v>
      </c>
      <c r="Y397" t="s">
        <v>396</v>
      </c>
      <c r="Z397" t="s">
        <v>396</v>
      </c>
      <c r="AA397">
        <v>0</v>
      </c>
      <c r="AB397" t="s">
        <v>178</v>
      </c>
      <c r="AC397" t="s">
        <v>143</v>
      </c>
      <c r="AD397" t="s">
        <v>40</v>
      </c>
      <c r="AE397" t="str">
        <f t="shared" si="98"/>
        <v>10</v>
      </c>
      <c r="AF397" t="s">
        <v>40</v>
      </c>
    </row>
    <row r="398" spans="1:32" x14ac:dyDescent="0.25">
      <c r="A398">
        <v>5</v>
      </c>
      <c r="B398">
        <v>420</v>
      </c>
      <c r="C398" t="str">
        <f>"13"</f>
        <v>13</v>
      </c>
      <c r="D398">
        <v>6399</v>
      </c>
      <c r="E398" t="str">
        <f t="shared" si="100"/>
        <v>00</v>
      </c>
      <c r="F398" t="str">
        <f>"001"</f>
        <v>001</v>
      </c>
      <c r="G398">
        <v>5</v>
      </c>
      <c r="H398" t="str">
        <f t="shared" ref="H398:H403" si="101">"11"</f>
        <v>11</v>
      </c>
      <c r="I398" t="str">
        <f t="shared" si="99"/>
        <v>0</v>
      </c>
      <c r="J398" t="str">
        <f t="shared" si="89"/>
        <v>00</v>
      </c>
      <c r="K398">
        <v>20141016</v>
      </c>
      <c r="L398" t="str">
        <f>"014511"</f>
        <v>014511</v>
      </c>
      <c r="M398" t="str">
        <f>"00301"</f>
        <v>00301</v>
      </c>
      <c r="N398" t="s">
        <v>397</v>
      </c>
      <c r="O398">
        <v>29.94</v>
      </c>
      <c r="Q398" t="s">
        <v>33</v>
      </c>
      <c r="R398" t="s">
        <v>34</v>
      </c>
      <c r="S398" t="s">
        <v>35</v>
      </c>
      <c r="T398" t="s">
        <v>35</v>
      </c>
      <c r="U398" t="s">
        <v>34</v>
      </c>
      <c r="V398" t="str">
        <f>""</f>
        <v/>
      </c>
      <c r="W398">
        <v>20141016</v>
      </c>
      <c r="X398" t="s">
        <v>390</v>
      </c>
      <c r="Y398" t="s">
        <v>398</v>
      </c>
      <c r="Z398" t="s">
        <v>398</v>
      </c>
      <c r="AA398">
        <v>0</v>
      </c>
      <c r="AB398" t="s">
        <v>142</v>
      </c>
      <c r="AC398" t="s">
        <v>41</v>
      </c>
      <c r="AD398" t="s">
        <v>40</v>
      </c>
      <c r="AE398" t="str">
        <f t="shared" si="98"/>
        <v>10</v>
      </c>
      <c r="AF398" t="s">
        <v>40</v>
      </c>
    </row>
    <row r="399" spans="1:32" x14ac:dyDescent="0.25">
      <c r="A399">
        <v>5</v>
      </c>
      <c r="B399">
        <v>420</v>
      </c>
      <c r="C399" t="str">
        <f>"13"</f>
        <v>13</v>
      </c>
      <c r="D399">
        <v>6399</v>
      </c>
      <c r="E399" t="str">
        <f t="shared" si="100"/>
        <v>00</v>
      </c>
      <c r="F399" t="str">
        <f>"041"</f>
        <v>041</v>
      </c>
      <c r="G399">
        <v>5</v>
      </c>
      <c r="H399" t="str">
        <f t="shared" si="101"/>
        <v>11</v>
      </c>
      <c r="I399" t="str">
        <f t="shared" si="99"/>
        <v>0</v>
      </c>
      <c r="J399" t="str">
        <f t="shared" si="89"/>
        <v>00</v>
      </c>
      <c r="K399">
        <v>20141016</v>
      </c>
      <c r="L399" t="str">
        <f>"014511"</f>
        <v>014511</v>
      </c>
      <c r="M399" t="str">
        <f>"00301"</f>
        <v>00301</v>
      </c>
      <c r="N399" t="s">
        <v>397</v>
      </c>
      <c r="O399">
        <v>59.89</v>
      </c>
      <c r="Q399" t="s">
        <v>33</v>
      </c>
      <c r="R399" t="s">
        <v>34</v>
      </c>
      <c r="S399" t="s">
        <v>35</v>
      </c>
      <c r="T399" t="s">
        <v>35</v>
      </c>
      <c r="U399" t="s">
        <v>34</v>
      </c>
      <c r="V399" t="str">
        <f>""</f>
        <v/>
      </c>
      <c r="W399">
        <v>20141016</v>
      </c>
      <c r="X399" t="s">
        <v>392</v>
      </c>
      <c r="Y399" t="s">
        <v>398</v>
      </c>
      <c r="Z399" t="s">
        <v>398</v>
      </c>
      <c r="AA399">
        <v>0</v>
      </c>
      <c r="AB399" t="s">
        <v>142</v>
      </c>
      <c r="AC399" t="s">
        <v>41</v>
      </c>
      <c r="AD399" t="s">
        <v>40</v>
      </c>
      <c r="AE399" t="str">
        <f t="shared" si="98"/>
        <v>10</v>
      </c>
      <c r="AF399" t="s">
        <v>40</v>
      </c>
    </row>
    <row r="400" spans="1:32" x14ac:dyDescent="0.25">
      <c r="A400">
        <v>5</v>
      </c>
      <c r="B400">
        <v>420</v>
      </c>
      <c r="C400" t="str">
        <f>"13"</f>
        <v>13</v>
      </c>
      <c r="D400">
        <v>6399</v>
      </c>
      <c r="E400" t="str">
        <f t="shared" si="100"/>
        <v>00</v>
      </c>
      <c r="F400" t="str">
        <f>"101"</f>
        <v>101</v>
      </c>
      <c r="G400">
        <v>5</v>
      </c>
      <c r="H400" t="str">
        <f t="shared" si="101"/>
        <v>11</v>
      </c>
      <c r="I400" t="str">
        <f t="shared" si="99"/>
        <v>0</v>
      </c>
      <c r="J400" t="str">
        <f t="shared" si="89"/>
        <v>00</v>
      </c>
      <c r="K400">
        <v>20141016</v>
      </c>
      <c r="L400" t="str">
        <f>"014511"</f>
        <v>014511</v>
      </c>
      <c r="M400" t="str">
        <f>"00301"</f>
        <v>00301</v>
      </c>
      <c r="N400" t="s">
        <v>397</v>
      </c>
      <c r="O400">
        <v>124.06</v>
      </c>
      <c r="Q400" t="s">
        <v>33</v>
      </c>
      <c r="R400" t="s">
        <v>34</v>
      </c>
      <c r="S400" t="s">
        <v>35</v>
      </c>
      <c r="T400" t="s">
        <v>35</v>
      </c>
      <c r="U400" t="s">
        <v>34</v>
      </c>
      <c r="V400" t="str">
        <f>""</f>
        <v/>
      </c>
      <c r="W400">
        <v>20141016</v>
      </c>
      <c r="X400" t="s">
        <v>393</v>
      </c>
      <c r="Y400" t="s">
        <v>398</v>
      </c>
      <c r="Z400" t="s">
        <v>398</v>
      </c>
      <c r="AA400">
        <v>0</v>
      </c>
      <c r="AB400" t="s">
        <v>142</v>
      </c>
      <c r="AC400" t="s">
        <v>41</v>
      </c>
      <c r="AD400" t="s">
        <v>40</v>
      </c>
      <c r="AE400" t="str">
        <f t="shared" si="98"/>
        <v>10</v>
      </c>
      <c r="AF400" t="s">
        <v>40</v>
      </c>
    </row>
    <row r="401" spans="1:32" x14ac:dyDescent="0.25">
      <c r="A401">
        <v>5</v>
      </c>
      <c r="B401">
        <v>420</v>
      </c>
      <c r="C401" t="str">
        <f>"11"</f>
        <v>11</v>
      </c>
      <c r="D401">
        <v>6399</v>
      </c>
      <c r="E401" t="str">
        <f t="shared" si="100"/>
        <v>00</v>
      </c>
      <c r="F401" t="str">
        <f>"001"</f>
        <v>001</v>
      </c>
      <c r="G401">
        <v>5</v>
      </c>
      <c r="H401" t="str">
        <f t="shared" si="101"/>
        <v>11</v>
      </c>
      <c r="I401" t="str">
        <f t="shared" si="99"/>
        <v>0</v>
      </c>
      <c r="J401" t="str">
        <f t="shared" si="89"/>
        <v>00</v>
      </c>
      <c r="K401">
        <v>20141016</v>
      </c>
      <c r="L401" t="str">
        <f>"014512"</f>
        <v>014512</v>
      </c>
      <c r="M401" t="str">
        <f>"00701"</f>
        <v>00701</v>
      </c>
      <c r="N401" t="s">
        <v>120</v>
      </c>
      <c r="O401">
        <v>152.88999999999999</v>
      </c>
      <c r="Q401" t="s">
        <v>33</v>
      </c>
      <c r="R401" t="s">
        <v>34</v>
      </c>
      <c r="S401" t="s">
        <v>35</v>
      </c>
      <c r="T401" t="s">
        <v>35</v>
      </c>
      <c r="U401" t="s">
        <v>34</v>
      </c>
      <c r="V401" t="str">
        <f>""</f>
        <v/>
      </c>
      <c r="W401">
        <v>20141016</v>
      </c>
      <c r="X401" t="s">
        <v>239</v>
      </c>
      <c r="Y401" t="s">
        <v>399</v>
      </c>
      <c r="Z401" t="s">
        <v>399</v>
      </c>
      <c r="AA401">
        <v>0</v>
      </c>
      <c r="AB401" t="s">
        <v>142</v>
      </c>
      <c r="AC401" t="s">
        <v>41</v>
      </c>
      <c r="AD401" t="s">
        <v>40</v>
      </c>
      <c r="AE401" t="str">
        <f t="shared" si="98"/>
        <v>10</v>
      </c>
      <c r="AF401" t="s">
        <v>40</v>
      </c>
    </row>
    <row r="402" spans="1:32" x14ac:dyDescent="0.25">
      <c r="A402">
        <v>5</v>
      </c>
      <c r="B402">
        <v>420</v>
      </c>
      <c r="C402" t="str">
        <f>"11"</f>
        <v>11</v>
      </c>
      <c r="D402">
        <v>6399</v>
      </c>
      <c r="E402" t="str">
        <f t="shared" si="100"/>
        <v>00</v>
      </c>
      <c r="F402" t="str">
        <f>"041"</f>
        <v>041</v>
      </c>
      <c r="G402">
        <v>5</v>
      </c>
      <c r="H402" t="str">
        <f t="shared" si="101"/>
        <v>11</v>
      </c>
      <c r="I402" t="str">
        <f t="shared" si="99"/>
        <v>0</v>
      </c>
      <c r="J402" t="str">
        <f t="shared" si="89"/>
        <v>00</v>
      </c>
      <c r="K402">
        <v>20141016</v>
      </c>
      <c r="L402" t="str">
        <f>"014512"</f>
        <v>014512</v>
      </c>
      <c r="M402" t="str">
        <f>"00701"</f>
        <v>00701</v>
      </c>
      <c r="N402" t="s">
        <v>120</v>
      </c>
      <c r="O402">
        <v>152.88999999999999</v>
      </c>
      <c r="Q402" t="s">
        <v>33</v>
      </c>
      <c r="R402" t="s">
        <v>34</v>
      </c>
      <c r="S402" t="s">
        <v>35</v>
      </c>
      <c r="T402" t="s">
        <v>35</v>
      </c>
      <c r="U402" t="s">
        <v>34</v>
      </c>
      <c r="V402" t="str">
        <f>""</f>
        <v/>
      </c>
      <c r="W402">
        <v>20141016</v>
      </c>
      <c r="X402" t="s">
        <v>241</v>
      </c>
      <c r="Y402" t="s">
        <v>399</v>
      </c>
      <c r="Z402" t="s">
        <v>399</v>
      </c>
      <c r="AA402">
        <v>0</v>
      </c>
      <c r="AB402" t="s">
        <v>142</v>
      </c>
      <c r="AC402" t="s">
        <v>41</v>
      </c>
      <c r="AD402" t="s">
        <v>40</v>
      </c>
      <c r="AE402" t="str">
        <f t="shared" si="98"/>
        <v>10</v>
      </c>
      <c r="AF402" t="s">
        <v>40</v>
      </c>
    </row>
    <row r="403" spans="1:32" x14ac:dyDescent="0.25">
      <c r="A403">
        <v>5</v>
      </c>
      <c r="B403">
        <v>420</v>
      </c>
      <c r="C403" t="str">
        <f>"11"</f>
        <v>11</v>
      </c>
      <c r="D403">
        <v>6399</v>
      </c>
      <c r="E403" t="str">
        <f t="shared" si="100"/>
        <v>00</v>
      </c>
      <c r="F403" t="str">
        <f>"101"</f>
        <v>101</v>
      </c>
      <c r="G403">
        <v>5</v>
      </c>
      <c r="H403" t="str">
        <f t="shared" si="101"/>
        <v>11</v>
      </c>
      <c r="I403" t="str">
        <f t="shared" si="99"/>
        <v>0</v>
      </c>
      <c r="J403" t="str">
        <f t="shared" si="89"/>
        <v>00</v>
      </c>
      <c r="K403">
        <v>20141016</v>
      </c>
      <c r="L403" t="str">
        <f>"014512"</f>
        <v>014512</v>
      </c>
      <c r="M403" t="str">
        <f>"00701"</f>
        <v>00701</v>
      </c>
      <c r="N403" t="s">
        <v>120</v>
      </c>
      <c r="O403">
        <v>649.76</v>
      </c>
      <c r="Q403" t="s">
        <v>33</v>
      </c>
      <c r="R403" t="s">
        <v>34</v>
      </c>
      <c r="S403" t="s">
        <v>35</v>
      </c>
      <c r="T403" t="s">
        <v>35</v>
      </c>
      <c r="U403" t="s">
        <v>34</v>
      </c>
      <c r="V403" t="str">
        <f>""</f>
        <v/>
      </c>
      <c r="W403">
        <v>20141016</v>
      </c>
      <c r="X403" t="s">
        <v>246</v>
      </c>
      <c r="Y403" t="s">
        <v>399</v>
      </c>
      <c r="Z403" t="s">
        <v>399</v>
      </c>
      <c r="AA403">
        <v>0</v>
      </c>
      <c r="AB403" t="s">
        <v>142</v>
      </c>
      <c r="AC403" t="s">
        <v>41</v>
      </c>
      <c r="AD403" t="s">
        <v>40</v>
      </c>
      <c r="AE403" t="str">
        <f t="shared" si="98"/>
        <v>10</v>
      </c>
      <c r="AF403" t="s">
        <v>40</v>
      </c>
    </row>
    <row r="404" spans="1:32" x14ac:dyDescent="0.25">
      <c r="A404">
        <v>5</v>
      </c>
      <c r="B404">
        <v>420</v>
      </c>
      <c r="C404" t="str">
        <f>"53"</f>
        <v>53</v>
      </c>
      <c r="D404">
        <v>6399</v>
      </c>
      <c r="E404" t="str">
        <f t="shared" si="100"/>
        <v>00</v>
      </c>
      <c r="F404" t="str">
        <f t="shared" ref="F404:F409" si="102">"999"</f>
        <v>999</v>
      </c>
      <c r="G404">
        <v>5</v>
      </c>
      <c r="H404" t="str">
        <f t="shared" ref="H404:H410" si="103">"99"</f>
        <v>99</v>
      </c>
      <c r="I404" t="str">
        <f t="shared" si="99"/>
        <v>0</v>
      </c>
      <c r="J404" t="str">
        <f t="shared" si="89"/>
        <v>00</v>
      </c>
      <c r="K404">
        <v>20141016</v>
      </c>
      <c r="L404" t="str">
        <f>"014512"</f>
        <v>014512</v>
      </c>
      <c r="M404" t="str">
        <f>"00701"</f>
        <v>00701</v>
      </c>
      <c r="N404" t="s">
        <v>120</v>
      </c>
      <c r="O404">
        <v>47.17</v>
      </c>
      <c r="Q404" t="s">
        <v>33</v>
      </c>
      <c r="R404" t="s">
        <v>34</v>
      </c>
      <c r="S404" t="s">
        <v>35</v>
      </c>
      <c r="T404" t="s">
        <v>35</v>
      </c>
      <c r="U404" t="s">
        <v>34</v>
      </c>
      <c r="V404" t="str">
        <f>""</f>
        <v/>
      </c>
      <c r="W404">
        <v>20141016</v>
      </c>
      <c r="X404" t="s">
        <v>400</v>
      </c>
      <c r="Y404" t="s">
        <v>401</v>
      </c>
      <c r="Z404" t="s">
        <v>401</v>
      </c>
      <c r="AA404">
        <v>0</v>
      </c>
      <c r="AB404" t="s">
        <v>142</v>
      </c>
      <c r="AC404" t="s">
        <v>143</v>
      </c>
      <c r="AD404" t="s">
        <v>40</v>
      </c>
      <c r="AE404" t="str">
        <f t="shared" si="98"/>
        <v>10</v>
      </c>
      <c r="AF404" t="s">
        <v>40</v>
      </c>
    </row>
    <row r="405" spans="1:32" x14ac:dyDescent="0.25">
      <c r="A405">
        <v>5</v>
      </c>
      <c r="B405">
        <v>420</v>
      </c>
      <c r="C405" t="str">
        <f>"53"</f>
        <v>53</v>
      </c>
      <c r="D405">
        <v>6399</v>
      </c>
      <c r="E405" t="str">
        <f t="shared" si="100"/>
        <v>00</v>
      </c>
      <c r="F405" t="str">
        <f t="shared" si="102"/>
        <v>999</v>
      </c>
      <c r="G405">
        <v>5</v>
      </c>
      <c r="H405" t="str">
        <f t="shared" si="103"/>
        <v>99</v>
      </c>
      <c r="I405" t="str">
        <f t="shared" si="99"/>
        <v>0</v>
      </c>
      <c r="J405" t="str">
        <f t="shared" si="89"/>
        <v>00</v>
      </c>
      <c r="K405">
        <v>20141016</v>
      </c>
      <c r="L405" t="str">
        <f>"014512"</f>
        <v>014512</v>
      </c>
      <c r="M405" t="str">
        <f>"00701"</f>
        <v>00701</v>
      </c>
      <c r="N405" t="s">
        <v>120</v>
      </c>
      <c r="O405">
        <v>201.6</v>
      </c>
      <c r="Q405" t="s">
        <v>33</v>
      </c>
      <c r="R405" t="s">
        <v>34</v>
      </c>
      <c r="S405" t="s">
        <v>35</v>
      </c>
      <c r="T405" t="s">
        <v>35</v>
      </c>
      <c r="U405" t="s">
        <v>34</v>
      </c>
      <c r="V405" t="str">
        <f>""</f>
        <v/>
      </c>
      <c r="W405">
        <v>20141016</v>
      </c>
      <c r="X405" t="s">
        <v>400</v>
      </c>
      <c r="Y405" t="s">
        <v>402</v>
      </c>
      <c r="Z405" t="s">
        <v>402</v>
      </c>
      <c r="AA405">
        <v>0</v>
      </c>
      <c r="AB405" t="s">
        <v>142</v>
      </c>
      <c r="AC405" t="s">
        <v>143</v>
      </c>
      <c r="AD405" t="s">
        <v>40</v>
      </c>
      <c r="AE405" t="str">
        <f t="shared" si="98"/>
        <v>10</v>
      </c>
      <c r="AF405" t="s">
        <v>40</v>
      </c>
    </row>
    <row r="406" spans="1:32" x14ac:dyDescent="0.25">
      <c r="A406">
        <v>5</v>
      </c>
      <c r="B406">
        <v>240</v>
      </c>
      <c r="C406" t="str">
        <f>"35"</f>
        <v>35</v>
      </c>
      <c r="D406">
        <v>6341</v>
      </c>
      <c r="E406" t="str">
        <f t="shared" si="100"/>
        <v>00</v>
      </c>
      <c r="F406" t="str">
        <f t="shared" si="102"/>
        <v>999</v>
      </c>
      <c r="G406">
        <v>5</v>
      </c>
      <c r="H406" t="str">
        <f t="shared" si="103"/>
        <v>99</v>
      </c>
      <c r="I406" t="str">
        <f t="shared" si="99"/>
        <v>0</v>
      </c>
      <c r="J406" t="str">
        <f t="shared" si="89"/>
        <v>00</v>
      </c>
      <c r="K406">
        <v>20141016</v>
      </c>
      <c r="L406" t="str">
        <f>"014513"</f>
        <v>014513</v>
      </c>
      <c r="M406" t="str">
        <f>"00786"</f>
        <v>00786</v>
      </c>
      <c r="N406" t="s">
        <v>403</v>
      </c>
      <c r="O406">
        <v>37.25</v>
      </c>
      <c r="Q406" t="s">
        <v>33</v>
      </c>
      <c r="R406" t="s">
        <v>34</v>
      </c>
      <c r="S406" t="s">
        <v>35</v>
      </c>
      <c r="T406" t="s">
        <v>35</v>
      </c>
      <c r="U406" t="s">
        <v>34</v>
      </c>
      <c r="V406" t="str">
        <f>""</f>
        <v/>
      </c>
      <c r="W406">
        <v>20141016</v>
      </c>
      <c r="X406" t="s">
        <v>268</v>
      </c>
      <c r="Y406" t="s">
        <v>404</v>
      </c>
      <c r="Z406" t="s">
        <v>404</v>
      </c>
      <c r="AA406">
        <v>0</v>
      </c>
      <c r="AB406" t="s">
        <v>238</v>
      </c>
      <c r="AC406" t="s">
        <v>143</v>
      </c>
      <c r="AD406" t="s">
        <v>40</v>
      </c>
      <c r="AE406" t="str">
        <f t="shared" si="98"/>
        <v>10</v>
      </c>
      <c r="AF406" t="s">
        <v>40</v>
      </c>
    </row>
    <row r="407" spans="1:32" x14ac:dyDescent="0.25">
      <c r="A407">
        <v>5</v>
      </c>
      <c r="B407">
        <v>420</v>
      </c>
      <c r="C407" t="str">
        <f>"53"</f>
        <v>53</v>
      </c>
      <c r="D407">
        <v>6219</v>
      </c>
      <c r="E407" t="str">
        <f t="shared" si="100"/>
        <v>00</v>
      </c>
      <c r="F407" t="str">
        <f t="shared" si="102"/>
        <v>999</v>
      </c>
      <c r="G407">
        <v>5</v>
      </c>
      <c r="H407" t="str">
        <f t="shared" si="103"/>
        <v>99</v>
      </c>
      <c r="I407" t="str">
        <f t="shared" si="99"/>
        <v>0</v>
      </c>
      <c r="J407" t="str">
        <f t="shared" si="89"/>
        <v>00</v>
      </c>
      <c r="K407">
        <v>20141016</v>
      </c>
      <c r="L407" t="str">
        <f>"014514"</f>
        <v>014514</v>
      </c>
      <c r="M407" t="str">
        <f>"00459"</f>
        <v>00459</v>
      </c>
      <c r="N407" t="s">
        <v>405</v>
      </c>
      <c r="O407">
        <v>856.55</v>
      </c>
      <c r="Q407" t="s">
        <v>33</v>
      </c>
      <c r="R407" t="s">
        <v>34</v>
      </c>
      <c r="S407" t="s">
        <v>35</v>
      </c>
      <c r="T407" t="s">
        <v>35</v>
      </c>
      <c r="U407" t="s">
        <v>34</v>
      </c>
      <c r="V407" t="str">
        <f>""</f>
        <v/>
      </c>
      <c r="W407">
        <v>20141016</v>
      </c>
      <c r="X407" t="s">
        <v>365</v>
      </c>
      <c r="Y407" t="s">
        <v>406</v>
      </c>
      <c r="Z407" t="s">
        <v>406</v>
      </c>
      <c r="AA407">
        <v>0</v>
      </c>
      <c r="AB407" t="s">
        <v>142</v>
      </c>
      <c r="AC407" t="s">
        <v>143</v>
      </c>
      <c r="AD407" t="s">
        <v>40</v>
      </c>
      <c r="AE407" t="str">
        <f t="shared" si="98"/>
        <v>10</v>
      </c>
      <c r="AF407" t="s">
        <v>40</v>
      </c>
    </row>
    <row r="408" spans="1:32" x14ac:dyDescent="0.25">
      <c r="A408">
        <v>5</v>
      </c>
      <c r="B408">
        <v>420</v>
      </c>
      <c r="C408" t="str">
        <f>"51"</f>
        <v>51</v>
      </c>
      <c r="D408">
        <v>6259</v>
      </c>
      <c r="E408" t="str">
        <f>"54"</f>
        <v>54</v>
      </c>
      <c r="F408" t="str">
        <f t="shared" si="102"/>
        <v>999</v>
      </c>
      <c r="G408">
        <v>5</v>
      </c>
      <c r="H408" t="str">
        <f t="shared" si="103"/>
        <v>99</v>
      </c>
      <c r="I408" t="str">
        <f t="shared" si="99"/>
        <v>0</v>
      </c>
      <c r="J408" t="str">
        <f t="shared" si="89"/>
        <v>00</v>
      </c>
      <c r="K408">
        <v>20141016</v>
      </c>
      <c r="L408" t="str">
        <f>"014515"</f>
        <v>014515</v>
      </c>
      <c r="M408" t="str">
        <f>"00591"</f>
        <v>00591</v>
      </c>
      <c r="N408" t="s">
        <v>272</v>
      </c>
      <c r="O408" s="1">
        <v>2190</v>
      </c>
      <c r="Q408" t="s">
        <v>33</v>
      </c>
      <c r="R408" t="s">
        <v>34</v>
      </c>
      <c r="S408" t="s">
        <v>35</v>
      </c>
      <c r="T408" t="s">
        <v>35</v>
      </c>
      <c r="U408" t="s">
        <v>34</v>
      </c>
      <c r="V408" t="str">
        <f>""</f>
        <v/>
      </c>
      <c r="W408">
        <v>20141016</v>
      </c>
      <c r="X408" t="s">
        <v>216</v>
      </c>
      <c r="Y408" t="s">
        <v>273</v>
      </c>
      <c r="Z408" t="s">
        <v>273</v>
      </c>
      <c r="AA408">
        <v>0</v>
      </c>
      <c r="AB408" t="s">
        <v>142</v>
      </c>
      <c r="AC408" t="s">
        <v>143</v>
      </c>
      <c r="AD408" t="s">
        <v>40</v>
      </c>
      <c r="AE408" t="str">
        <f t="shared" si="98"/>
        <v>10</v>
      </c>
      <c r="AF408" t="s">
        <v>40</v>
      </c>
    </row>
    <row r="409" spans="1:32" x14ac:dyDescent="0.25">
      <c r="A409">
        <v>5</v>
      </c>
      <c r="B409">
        <v>420</v>
      </c>
      <c r="C409" t="str">
        <f>"51"</f>
        <v>51</v>
      </c>
      <c r="D409">
        <v>6299</v>
      </c>
      <c r="E409" t="str">
        <f t="shared" ref="E409:E440" si="104">"00"</f>
        <v>00</v>
      </c>
      <c r="F409" t="str">
        <f t="shared" si="102"/>
        <v>999</v>
      </c>
      <c r="G409">
        <v>5</v>
      </c>
      <c r="H409" t="str">
        <f t="shared" si="103"/>
        <v>99</v>
      </c>
      <c r="I409" t="str">
        <f t="shared" si="99"/>
        <v>0</v>
      </c>
      <c r="J409" t="str">
        <f t="shared" ref="J409:J472" si="105">"00"</f>
        <v>00</v>
      </c>
      <c r="K409">
        <v>20141016</v>
      </c>
      <c r="L409" t="str">
        <f>"014516"</f>
        <v>014516</v>
      </c>
      <c r="M409" t="str">
        <f>"00577"</f>
        <v>00577</v>
      </c>
      <c r="N409" t="s">
        <v>251</v>
      </c>
      <c r="O409">
        <v>63.72</v>
      </c>
      <c r="Q409" t="s">
        <v>33</v>
      </c>
      <c r="R409" t="s">
        <v>34</v>
      </c>
      <c r="S409" t="s">
        <v>35</v>
      </c>
      <c r="T409" t="s">
        <v>35</v>
      </c>
      <c r="U409" t="s">
        <v>34</v>
      </c>
      <c r="V409" t="str">
        <f>""</f>
        <v/>
      </c>
      <c r="W409">
        <v>20141016</v>
      </c>
      <c r="X409" t="s">
        <v>203</v>
      </c>
      <c r="Y409" t="s">
        <v>253</v>
      </c>
      <c r="Z409" t="s">
        <v>253</v>
      </c>
      <c r="AA409">
        <v>0</v>
      </c>
      <c r="AB409" t="s">
        <v>142</v>
      </c>
      <c r="AC409" t="s">
        <v>143</v>
      </c>
      <c r="AD409" t="s">
        <v>40</v>
      </c>
      <c r="AE409" t="str">
        <f t="shared" si="98"/>
        <v>10</v>
      </c>
      <c r="AF409" t="s">
        <v>40</v>
      </c>
    </row>
    <row r="410" spans="1:32" x14ac:dyDescent="0.25">
      <c r="A410">
        <v>5</v>
      </c>
      <c r="B410">
        <v>420</v>
      </c>
      <c r="C410" t="str">
        <f>"41"</f>
        <v>41</v>
      </c>
      <c r="D410">
        <v>6219</v>
      </c>
      <c r="E410" t="str">
        <f t="shared" si="104"/>
        <v>00</v>
      </c>
      <c r="F410" t="str">
        <f>"750"</f>
        <v>750</v>
      </c>
      <c r="G410">
        <v>5</v>
      </c>
      <c r="H410" t="str">
        <f t="shared" si="103"/>
        <v>99</v>
      </c>
      <c r="I410" t="str">
        <f t="shared" si="99"/>
        <v>0</v>
      </c>
      <c r="J410" t="str">
        <f t="shared" si="105"/>
        <v>00</v>
      </c>
      <c r="K410">
        <v>20141016</v>
      </c>
      <c r="L410" t="str">
        <f>"014517"</f>
        <v>014517</v>
      </c>
      <c r="M410" t="str">
        <f>"00377"</f>
        <v>00377</v>
      </c>
      <c r="N410" t="s">
        <v>254</v>
      </c>
      <c r="O410">
        <v>27.8</v>
      </c>
      <c r="Q410" t="s">
        <v>33</v>
      </c>
      <c r="R410" t="s">
        <v>34</v>
      </c>
      <c r="S410" t="s">
        <v>35</v>
      </c>
      <c r="T410" t="s">
        <v>35</v>
      </c>
      <c r="U410" t="s">
        <v>34</v>
      </c>
      <c r="V410" t="str">
        <f>""</f>
        <v/>
      </c>
      <c r="W410">
        <v>20141016</v>
      </c>
      <c r="X410" t="s">
        <v>255</v>
      </c>
      <c r="Y410" t="s">
        <v>407</v>
      </c>
      <c r="Z410" t="s">
        <v>407</v>
      </c>
      <c r="AA410">
        <v>0</v>
      </c>
      <c r="AB410" t="s">
        <v>142</v>
      </c>
      <c r="AC410" t="s">
        <v>170</v>
      </c>
      <c r="AD410" t="s">
        <v>40</v>
      </c>
      <c r="AE410" t="str">
        <f t="shared" si="98"/>
        <v>10</v>
      </c>
      <c r="AF410" t="s">
        <v>40</v>
      </c>
    </row>
    <row r="411" spans="1:32" x14ac:dyDescent="0.25">
      <c r="A411">
        <v>5</v>
      </c>
      <c r="B411">
        <v>420</v>
      </c>
      <c r="C411" t="str">
        <f>"11"</f>
        <v>11</v>
      </c>
      <c r="D411">
        <v>6399</v>
      </c>
      <c r="E411" t="str">
        <f t="shared" si="104"/>
        <v>00</v>
      </c>
      <c r="F411" t="str">
        <f>"001"</f>
        <v>001</v>
      </c>
      <c r="G411">
        <v>5</v>
      </c>
      <c r="H411" t="str">
        <f>"11"</f>
        <v>11</v>
      </c>
      <c r="I411" t="str">
        <f t="shared" si="99"/>
        <v>0</v>
      </c>
      <c r="J411" t="str">
        <f t="shared" si="105"/>
        <v>00</v>
      </c>
      <c r="K411">
        <v>20141016</v>
      </c>
      <c r="L411" t="str">
        <f>"014518"</f>
        <v>014518</v>
      </c>
      <c r="M411" t="str">
        <f>"00374"</f>
        <v>00374</v>
      </c>
      <c r="N411" t="s">
        <v>408</v>
      </c>
      <c r="O411">
        <v>42.64</v>
      </c>
      <c r="Q411" t="s">
        <v>33</v>
      </c>
      <c r="R411" t="s">
        <v>34</v>
      </c>
      <c r="S411" t="s">
        <v>35</v>
      </c>
      <c r="T411" t="s">
        <v>35</v>
      </c>
      <c r="U411" t="s">
        <v>34</v>
      </c>
      <c r="V411" t="str">
        <f>""</f>
        <v/>
      </c>
      <c r="W411">
        <v>20141016</v>
      </c>
      <c r="X411" t="s">
        <v>239</v>
      </c>
      <c r="Y411" t="s">
        <v>409</v>
      </c>
      <c r="Z411" t="s">
        <v>409</v>
      </c>
      <c r="AA411">
        <v>0</v>
      </c>
      <c r="AB411" t="s">
        <v>142</v>
      </c>
      <c r="AC411" t="s">
        <v>41</v>
      </c>
      <c r="AD411" t="s">
        <v>40</v>
      </c>
      <c r="AE411" t="str">
        <f t="shared" si="98"/>
        <v>10</v>
      </c>
      <c r="AF411" t="s">
        <v>40</v>
      </c>
    </row>
    <row r="412" spans="1:32" x14ac:dyDescent="0.25">
      <c r="A412">
        <v>5</v>
      </c>
      <c r="B412">
        <v>420</v>
      </c>
      <c r="C412" t="str">
        <f>"11"</f>
        <v>11</v>
      </c>
      <c r="D412">
        <v>6399</v>
      </c>
      <c r="E412" t="str">
        <f t="shared" si="104"/>
        <v>00</v>
      </c>
      <c r="F412" t="str">
        <f>"041"</f>
        <v>041</v>
      </c>
      <c r="G412">
        <v>5</v>
      </c>
      <c r="H412" t="str">
        <f>"11"</f>
        <v>11</v>
      </c>
      <c r="I412" t="str">
        <f t="shared" si="99"/>
        <v>0</v>
      </c>
      <c r="J412" t="str">
        <f t="shared" si="105"/>
        <v>00</v>
      </c>
      <c r="K412">
        <v>20141016</v>
      </c>
      <c r="L412" t="str">
        <f>"014518"</f>
        <v>014518</v>
      </c>
      <c r="M412" t="str">
        <f>"00374"</f>
        <v>00374</v>
      </c>
      <c r="N412" t="s">
        <v>408</v>
      </c>
      <c r="O412">
        <v>42.64</v>
      </c>
      <c r="Q412" t="s">
        <v>33</v>
      </c>
      <c r="R412" t="s">
        <v>34</v>
      </c>
      <c r="S412" t="s">
        <v>35</v>
      </c>
      <c r="T412" t="s">
        <v>35</v>
      </c>
      <c r="U412" t="s">
        <v>34</v>
      </c>
      <c r="V412" t="str">
        <f>""</f>
        <v/>
      </c>
      <c r="W412">
        <v>20141016</v>
      </c>
      <c r="X412" t="s">
        <v>241</v>
      </c>
      <c r="Y412" t="s">
        <v>409</v>
      </c>
      <c r="Z412" t="s">
        <v>409</v>
      </c>
      <c r="AA412">
        <v>0</v>
      </c>
      <c r="AB412" t="s">
        <v>142</v>
      </c>
      <c r="AC412" t="s">
        <v>41</v>
      </c>
      <c r="AD412" t="s">
        <v>40</v>
      </c>
      <c r="AE412" t="str">
        <f t="shared" si="98"/>
        <v>10</v>
      </c>
      <c r="AF412" t="s">
        <v>40</v>
      </c>
    </row>
    <row r="413" spans="1:32" x14ac:dyDescent="0.25">
      <c r="A413">
        <v>5</v>
      </c>
      <c r="B413">
        <v>420</v>
      </c>
      <c r="C413" t="str">
        <f>"11"</f>
        <v>11</v>
      </c>
      <c r="D413">
        <v>6399</v>
      </c>
      <c r="E413" t="str">
        <f t="shared" si="104"/>
        <v>00</v>
      </c>
      <c r="F413" t="str">
        <f>"101"</f>
        <v>101</v>
      </c>
      <c r="G413">
        <v>5</v>
      </c>
      <c r="H413" t="str">
        <f>"11"</f>
        <v>11</v>
      </c>
      <c r="I413" t="str">
        <f t="shared" si="99"/>
        <v>0</v>
      </c>
      <c r="J413" t="str">
        <f t="shared" si="105"/>
        <v>00</v>
      </c>
      <c r="K413">
        <v>20141016</v>
      </c>
      <c r="L413" t="str">
        <f>"014518"</f>
        <v>014518</v>
      </c>
      <c r="M413" t="str">
        <f>"00374"</f>
        <v>00374</v>
      </c>
      <c r="N413" t="s">
        <v>408</v>
      </c>
      <c r="O413">
        <v>185.72</v>
      </c>
      <c r="Q413" t="s">
        <v>33</v>
      </c>
      <c r="R413" t="s">
        <v>34</v>
      </c>
      <c r="S413" t="s">
        <v>35</v>
      </c>
      <c r="T413" t="s">
        <v>35</v>
      </c>
      <c r="U413" t="s">
        <v>34</v>
      </c>
      <c r="V413" t="str">
        <f>""</f>
        <v/>
      </c>
      <c r="W413">
        <v>20141016</v>
      </c>
      <c r="X413" t="s">
        <v>246</v>
      </c>
      <c r="Y413" t="s">
        <v>409</v>
      </c>
      <c r="Z413" t="s">
        <v>409</v>
      </c>
      <c r="AA413">
        <v>0</v>
      </c>
      <c r="AB413" t="s">
        <v>142</v>
      </c>
      <c r="AC413" t="s">
        <v>41</v>
      </c>
      <c r="AD413" t="s">
        <v>40</v>
      </c>
      <c r="AE413" t="str">
        <f t="shared" si="98"/>
        <v>10</v>
      </c>
      <c r="AF413" t="s">
        <v>40</v>
      </c>
    </row>
    <row r="414" spans="1:32" x14ac:dyDescent="0.25">
      <c r="A414">
        <v>5</v>
      </c>
      <c r="B414">
        <v>420</v>
      </c>
      <c r="C414" t="str">
        <f>"13"</f>
        <v>13</v>
      </c>
      <c r="D414">
        <v>6399</v>
      </c>
      <c r="E414" t="str">
        <f t="shared" si="104"/>
        <v>00</v>
      </c>
      <c r="F414" t="str">
        <f>"101"</f>
        <v>101</v>
      </c>
      <c r="G414">
        <v>5</v>
      </c>
      <c r="H414" t="str">
        <f>"11"</f>
        <v>11</v>
      </c>
      <c r="I414" t="str">
        <f t="shared" si="99"/>
        <v>0</v>
      </c>
      <c r="J414" t="str">
        <f t="shared" si="105"/>
        <v>00</v>
      </c>
      <c r="K414">
        <v>20141023</v>
      </c>
      <c r="L414" t="str">
        <f>"014519"</f>
        <v>014519</v>
      </c>
      <c r="M414" t="str">
        <f>"00376"</f>
        <v>00376</v>
      </c>
      <c r="N414" t="s">
        <v>410</v>
      </c>
      <c r="O414" s="1">
        <v>3010.8</v>
      </c>
      <c r="Q414" t="s">
        <v>33</v>
      </c>
      <c r="R414" t="s">
        <v>34</v>
      </c>
      <c r="S414" t="s">
        <v>35</v>
      </c>
      <c r="T414" t="s">
        <v>35</v>
      </c>
      <c r="U414" t="s">
        <v>34</v>
      </c>
      <c r="V414" t="str">
        <f>""</f>
        <v/>
      </c>
      <c r="W414">
        <v>20141023</v>
      </c>
      <c r="X414" t="s">
        <v>393</v>
      </c>
      <c r="Y414" t="s">
        <v>411</v>
      </c>
      <c r="Z414" t="s">
        <v>411</v>
      </c>
      <c r="AA414">
        <v>0</v>
      </c>
      <c r="AB414" t="s">
        <v>142</v>
      </c>
      <c r="AC414" t="s">
        <v>41</v>
      </c>
      <c r="AD414" t="s">
        <v>40</v>
      </c>
      <c r="AE414" t="str">
        <f t="shared" si="98"/>
        <v>10</v>
      </c>
      <c r="AF414" t="s">
        <v>40</v>
      </c>
    </row>
    <row r="415" spans="1:32" x14ac:dyDescent="0.25">
      <c r="A415">
        <v>5</v>
      </c>
      <c r="B415">
        <v>420</v>
      </c>
      <c r="C415" t="str">
        <f>"13"</f>
        <v>13</v>
      </c>
      <c r="D415">
        <v>6399</v>
      </c>
      <c r="E415" t="str">
        <f t="shared" si="104"/>
        <v>00</v>
      </c>
      <c r="F415" t="str">
        <f>"101"</f>
        <v>101</v>
      </c>
      <c r="G415">
        <v>5</v>
      </c>
      <c r="H415" t="str">
        <f>"11"</f>
        <v>11</v>
      </c>
      <c r="I415" t="str">
        <f t="shared" si="99"/>
        <v>0</v>
      </c>
      <c r="J415" t="str">
        <f t="shared" si="105"/>
        <v>00</v>
      </c>
      <c r="K415">
        <v>20141023</v>
      </c>
      <c r="L415" t="str">
        <f>"014519"</f>
        <v>014519</v>
      </c>
      <c r="M415" t="str">
        <f>"00376"</f>
        <v>00376</v>
      </c>
      <c r="N415" t="s">
        <v>410</v>
      </c>
      <c r="O415" s="1">
        <v>-1528.3</v>
      </c>
      <c r="Q415" t="s">
        <v>33</v>
      </c>
      <c r="R415" t="s">
        <v>34</v>
      </c>
      <c r="S415" t="s">
        <v>35</v>
      </c>
      <c r="T415" t="s">
        <v>35</v>
      </c>
      <c r="U415" t="s">
        <v>34</v>
      </c>
      <c r="V415" t="s">
        <v>110</v>
      </c>
      <c r="W415">
        <v>20141023</v>
      </c>
      <c r="X415" t="s">
        <v>393</v>
      </c>
      <c r="Y415" t="s">
        <v>412</v>
      </c>
      <c r="Z415" t="s">
        <v>412</v>
      </c>
      <c r="AA415">
        <v>0</v>
      </c>
      <c r="AB415" t="s">
        <v>142</v>
      </c>
      <c r="AC415" t="s">
        <v>41</v>
      </c>
      <c r="AD415" t="s">
        <v>112</v>
      </c>
      <c r="AE415" t="str">
        <f t="shared" si="98"/>
        <v>10</v>
      </c>
      <c r="AF415" t="s">
        <v>40</v>
      </c>
    </row>
    <row r="416" spans="1:32" x14ac:dyDescent="0.25">
      <c r="A416">
        <v>5</v>
      </c>
      <c r="B416">
        <v>240</v>
      </c>
      <c r="C416" t="str">
        <f>"35"</f>
        <v>35</v>
      </c>
      <c r="D416">
        <v>6341</v>
      </c>
      <c r="E416" t="str">
        <f t="shared" si="104"/>
        <v>00</v>
      </c>
      <c r="F416" t="str">
        <f>"999"</f>
        <v>999</v>
      </c>
      <c r="G416">
        <v>5</v>
      </c>
      <c r="H416" t="str">
        <f>"99"</f>
        <v>99</v>
      </c>
      <c r="I416" t="str">
        <f t="shared" si="99"/>
        <v>0</v>
      </c>
      <c r="J416" t="str">
        <f t="shared" si="105"/>
        <v>00</v>
      </c>
      <c r="K416">
        <v>20141023</v>
      </c>
      <c r="L416" t="str">
        <f>"014520"</f>
        <v>014520</v>
      </c>
      <c r="M416" t="str">
        <f>"00048"</f>
        <v>00048</v>
      </c>
      <c r="N416" t="s">
        <v>309</v>
      </c>
      <c r="O416">
        <v>111.48</v>
      </c>
      <c r="Q416" t="s">
        <v>33</v>
      </c>
      <c r="R416" t="s">
        <v>34</v>
      </c>
      <c r="S416" t="s">
        <v>35</v>
      </c>
      <c r="T416" t="s">
        <v>35</v>
      </c>
      <c r="U416" t="s">
        <v>34</v>
      </c>
      <c r="V416" t="str">
        <f>""</f>
        <v/>
      </c>
      <c r="W416">
        <v>20141021</v>
      </c>
      <c r="X416" t="s">
        <v>268</v>
      </c>
      <c r="Y416" t="s">
        <v>310</v>
      </c>
      <c r="Z416" t="s">
        <v>310</v>
      </c>
      <c r="AA416">
        <v>0</v>
      </c>
      <c r="AB416" t="s">
        <v>238</v>
      </c>
      <c r="AC416" t="s">
        <v>143</v>
      </c>
      <c r="AD416" t="s">
        <v>40</v>
      </c>
      <c r="AE416" t="str">
        <f t="shared" si="98"/>
        <v>10</v>
      </c>
      <c r="AF416" t="s">
        <v>40</v>
      </c>
    </row>
    <row r="417" spans="1:32" x14ac:dyDescent="0.25">
      <c r="A417">
        <v>5</v>
      </c>
      <c r="B417">
        <v>240</v>
      </c>
      <c r="C417" t="str">
        <f>"35"</f>
        <v>35</v>
      </c>
      <c r="D417">
        <v>6341</v>
      </c>
      <c r="E417" t="str">
        <f t="shared" si="104"/>
        <v>00</v>
      </c>
      <c r="F417" t="str">
        <f>"999"</f>
        <v>999</v>
      </c>
      <c r="G417">
        <v>5</v>
      </c>
      <c r="H417" t="str">
        <f>"99"</f>
        <v>99</v>
      </c>
      <c r="I417" t="str">
        <f t="shared" si="99"/>
        <v>0</v>
      </c>
      <c r="J417" t="str">
        <f t="shared" si="105"/>
        <v>00</v>
      </c>
      <c r="K417">
        <v>20141023</v>
      </c>
      <c r="L417" t="str">
        <f>"014520"</f>
        <v>014520</v>
      </c>
      <c r="M417" t="str">
        <f>"00048"</f>
        <v>00048</v>
      </c>
      <c r="N417" t="s">
        <v>309</v>
      </c>
      <c r="O417">
        <v>135.51</v>
      </c>
      <c r="Q417" t="s">
        <v>33</v>
      </c>
      <c r="R417" t="s">
        <v>34</v>
      </c>
      <c r="S417" t="s">
        <v>35</v>
      </c>
      <c r="T417" t="s">
        <v>35</v>
      </c>
      <c r="U417" t="s">
        <v>34</v>
      </c>
      <c r="V417" t="str">
        <f>""</f>
        <v/>
      </c>
      <c r="W417">
        <v>20141021</v>
      </c>
      <c r="X417" t="s">
        <v>268</v>
      </c>
      <c r="Y417" t="s">
        <v>310</v>
      </c>
      <c r="Z417" t="s">
        <v>310</v>
      </c>
      <c r="AA417">
        <v>0</v>
      </c>
      <c r="AB417" t="s">
        <v>238</v>
      </c>
      <c r="AC417" t="s">
        <v>143</v>
      </c>
      <c r="AD417" t="s">
        <v>40</v>
      </c>
      <c r="AE417" t="str">
        <f t="shared" ref="AE417:AE448" si="106">"10"</f>
        <v>10</v>
      </c>
      <c r="AF417" t="s">
        <v>40</v>
      </c>
    </row>
    <row r="418" spans="1:32" x14ac:dyDescent="0.25">
      <c r="A418">
        <v>5</v>
      </c>
      <c r="B418">
        <v>211</v>
      </c>
      <c r="C418" t="str">
        <f>"11"</f>
        <v>11</v>
      </c>
      <c r="D418">
        <v>6219</v>
      </c>
      <c r="E418" t="str">
        <f t="shared" si="104"/>
        <v>00</v>
      </c>
      <c r="F418" t="str">
        <f>"001"</f>
        <v>001</v>
      </c>
      <c r="G418">
        <v>5</v>
      </c>
      <c r="H418" t="str">
        <f>"30"</f>
        <v>30</v>
      </c>
      <c r="I418" t="str">
        <f t="shared" si="99"/>
        <v>0</v>
      </c>
      <c r="J418" t="str">
        <f t="shared" si="105"/>
        <v>00</v>
      </c>
      <c r="K418">
        <v>20141023</v>
      </c>
      <c r="L418" t="str">
        <f>"014521"</f>
        <v>014521</v>
      </c>
      <c r="M418" t="str">
        <f>"00734"</f>
        <v>00734</v>
      </c>
      <c r="N418" t="s">
        <v>220</v>
      </c>
      <c r="O418">
        <v>137.5</v>
      </c>
      <c r="Q418" t="s">
        <v>33</v>
      </c>
      <c r="R418" t="s">
        <v>34</v>
      </c>
      <c r="S418" t="s">
        <v>35</v>
      </c>
      <c r="T418" t="s">
        <v>35</v>
      </c>
      <c r="U418" t="s">
        <v>34</v>
      </c>
      <c r="V418" t="str">
        <f>""</f>
        <v/>
      </c>
      <c r="W418">
        <v>20141023</v>
      </c>
      <c r="X418" t="s">
        <v>173</v>
      </c>
      <c r="Y418" t="s">
        <v>141</v>
      </c>
      <c r="Z418" t="s">
        <v>141</v>
      </c>
      <c r="AA418">
        <v>0</v>
      </c>
      <c r="AB418" t="s">
        <v>174</v>
      </c>
      <c r="AC418" t="s">
        <v>41</v>
      </c>
      <c r="AD418" t="s">
        <v>40</v>
      </c>
      <c r="AE418" t="str">
        <f t="shared" si="106"/>
        <v>10</v>
      </c>
      <c r="AF418" t="s">
        <v>40</v>
      </c>
    </row>
    <row r="419" spans="1:32" x14ac:dyDescent="0.25">
      <c r="A419">
        <v>5</v>
      </c>
      <c r="B419">
        <v>211</v>
      </c>
      <c r="C419" t="str">
        <f>"11"</f>
        <v>11</v>
      </c>
      <c r="D419">
        <v>6219</v>
      </c>
      <c r="E419" t="str">
        <f t="shared" si="104"/>
        <v>00</v>
      </c>
      <c r="F419" t="str">
        <f>"001"</f>
        <v>001</v>
      </c>
      <c r="G419">
        <v>5</v>
      </c>
      <c r="H419" t="str">
        <f>"30"</f>
        <v>30</v>
      </c>
      <c r="I419" t="str">
        <f t="shared" si="99"/>
        <v>0</v>
      </c>
      <c r="J419" t="str">
        <f t="shared" si="105"/>
        <v>00</v>
      </c>
      <c r="K419">
        <v>20141023</v>
      </c>
      <c r="L419" t="str">
        <f>"014521"</f>
        <v>014521</v>
      </c>
      <c r="M419" t="str">
        <f>"00734"</f>
        <v>00734</v>
      </c>
      <c r="N419" t="s">
        <v>220</v>
      </c>
      <c r="O419">
        <v>275</v>
      </c>
      <c r="Q419" t="s">
        <v>33</v>
      </c>
      <c r="R419" t="s">
        <v>34</v>
      </c>
      <c r="S419" t="s">
        <v>35</v>
      </c>
      <c r="T419" t="s">
        <v>35</v>
      </c>
      <c r="U419" t="s">
        <v>34</v>
      </c>
      <c r="V419" t="str">
        <f>""</f>
        <v/>
      </c>
      <c r="W419">
        <v>20141023</v>
      </c>
      <c r="X419" t="s">
        <v>173</v>
      </c>
      <c r="Y419" t="s">
        <v>141</v>
      </c>
      <c r="Z419" t="s">
        <v>141</v>
      </c>
      <c r="AA419">
        <v>0</v>
      </c>
      <c r="AB419" t="s">
        <v>174</v>
      </c>
      <c r="AC419" t="s">
        <v>41</v>
      </c>
      <c r="AD419" t="s">
        <v>40</v>
      </c>
      <c r="AE419" t="str">
        <f t="shared" si="106"/>
        <v>10</v>
      </c>
      <c r="AF419" t="s">
        <v>40</v>
      </c>
    </row>
    <row r="420" spans="1:32" x14ac:dyDescent="0.25">
      <c r="A420">
        <v>5</v>
      </c>
      <c r="B420">
        <v>211</v>
      </c>
      <c r="C420" t="str">
        <f>"11"</f>
        <v>11</v>
      </c>
      <c r="D420">
        <v>6219</v>
      </c>
      <c r="E420" t="str">
        <f t="shared" si="104"/>
        <v>00</v>
      </c>
      <c r="F420" t="str">
        <f>"041"</f>
        <v>041</v>
      </c>
      <c r="G420">
        <v>5</v>
      </c>
      <c r="H420" t="str">
        <f>"30"</f>
        <v>30</v>
      </c>
      <c r="I420" t="str">
        <f t="shared" si="99"/>
        <v>0</v>
      </c>
      <c r="J420" t="str">
        <f t="shared" si="105"/>
        <v>00</v>
      </c>
      <c r="K420">
        <v>20141023</v>
      </c>
      <c r="L420" t="str">
        <f>"014521"</f>
        <v>014521</v>
      </c>
      <c r="M420" t="str">
        <f>"00734"</f>
        <v>00734</v>
      </c>
      <c r="N420" t="s">
        <v>220</v>
      </c>
      <c r="O420">
        <v>275</v>
      </c>
      <c r="Q420" t="s">
        <v>33</v>
      </c>
      <c r="R420" t="s">
        <v>34</v>
      </c>
      <c r="S420" t="s">
        <v>35</v>
      </c>
      <c r="T420" t="s">
        <v>35</v>
      </c>
      <c r="U420" t="s">
        <v>34</v>
      </c>
      <c r="V420" t="str">
        <f>""</f>
        <v/>
      </c>
      <c r="W420">
        <v>20141023</v>
      </c>
      <c r="X420" t="s">
        <v>175</v>
      </c>
      <c r="Y420" t="s">
        <v>141</v>
      </c>
      <c r="Z420" t="s">
        <v>141</v>
      </c>
      <c r="AA420">
        <v>0</v>
      </c>
      <c r="AB420" t="s">
        <v>174</v>
      </c>
      <c r="AC420" t="s">
        <v>41</v>
      </c>
      <c r="AD420" t="s">
        <v>40</v>
      </c>
      <c r="AE420" t="str">
        <f t="shared" si="106"/>
        <v>10</v>
      </c>
      <c r="AF420" t="s">
        <v>40</v>
      </c>
    </row>
    <row r="421" spans="1:32" x14ac:dyDescent="0.25">
      <c r="A421">
        <v>5</v>
      </c>
      <c r="B421">
        <v>211</v>
      </c>
      <c r="C421" t="str">
        <f>"11"</f>
        <v>11</v>
      </c>
      <c r="D421">
        <v>6219</v>
      </c>
      <c r="E421" t="str">
        <f t="shared" si="104"/>
        <v>00</v>
      </c>
      <c r="F421" t="str">
        <f>"041"</f>
        <v>041</v>
      </c>
      <c r="G421">
        <v>5</v>
      </c>
      <c r="H421" t="str">
        <f>"30"</f>
        <v>30</v>
      </c>
      <c r="I421" t="str">
        <f t="shared" si="99"/>
        <v>0</v>
      </c>
      <c r="J421" t="str">
        <f t="shared" si="105"/>
        <v>00</v>
      </c>
      <c r="K421">
        <v>20141023</v>
      </c>
      <c r="L421" t="str">
        <f>"014521"</f>
        <v>014521</v>
      </c>
      <c r="M421" t="str">
        <f>"00734"</f>
        <v>00734</v>
      </c>
      <c r="N421" t="s">
        <v>220</v>
      </c>
      <c r="O421">
        <v>137.5</v>
      </c>
      <c r="Q421" t="s">
        <v>33</v>
      </c>
      <c r="R421" t="s">
        <v>34</v>
      </c>
      <c r="S421" t="s">
        <v>35</v>
      </c>
      <c r="T421" t="s">
        <v>35</v>
      </c>
      <c r="U421" t="s">
        <v>34</v>
      </c>
      <c r="V421" t="str">
        <f>""</f>
        <v/>
      </c>
      <c r="W421">
        <v>20141023</v>
      </c>
      <c r="X421" t="s">
        <v>175</v>
      </c>
      <c r="Y421" t="s">
        <v>141</v>
      </c>
      <c r="Z421" t="s">
        <v>141</v>
      </c>
      <c r="AA421">
        <v>0</v>
      </c>
      <c r="AB421" t="s">
        <v>174</v>
      </c>
      <c r="AC421" t="s">
        <v>41</v>
      </c>
      <c r="AD421" t="s">
        <v>40</v>
      </c>
      <c r="AE421" t="str">
        <f t="shared" si="106"/>
        <v>10</v>
      </c>
      <c r="AF421" t="s">
        <v>40</v>
      </c>
    </row>
    <row r="422" spans="1:32" x14ac:dyDescent="0.25">
      <c r="A422">
        <v>5</v>
      </c>
      <c r="B422">
        <v>420</v>
      </c>
      <c r="C422" t="str">
        <f>"51"</f>
        <v>51</v>
      </c>
      <c r="D422">
        <v>6319</v>
      </c>
      <c r="E422" t="str">
        <f t="shared" si="104"/>
        <v>00</v>
      </c>
      <c r="F422" t="str">
        <f>"999"</f>
        <v>999</v>
      </c>
      <c r="G422">
        <v>5</v>
      </c>
      <c r="H422" t="str">
        <f>"99"</f>
        <v>99</v>
      </c>
      <c r="I422" t="str">
        <f t="shared" si="99"/>
        <v>0</v>
      </c>
      <c r="J422" t="str">
        <f t="shared" si="105"/>
        <v>00</v>
      </c>
      <c r="K422">
        <v>20141023</v>
      </c>
      <c r="L422" t="str">
        <f>"014522"</f>
        <v>014522</v>
      </c>
      <c r="M422" t="str">
        <f>"00152"</f>
        <v>00152</v>
      </c>
      <c r="N422" t="s">
        <v>413</v>
      </c>
      <c r="O422">
        <v>175.29</v>
      </c>
      <c r="Q422" t="s">
        <v>33</v>
      </c>
      <c r="R422" t="s">
        <v>34</v>
      </c>
      <c r="S422" t="s">
        <v>35</v>
      </c>
      <c r="T422" t="s">
        <v>35</v>
      </c>
      <c r="U422" t="s">
        <v>34</v>
      </c>
      <c r="V422" t="str">
        <f>""</f>
        <v/>
      </c>
      <c r="W422">
        <v>20141021</v>
      </c>
      <c r="X422" t="s">
        <v>185</v>
      </c>
      <c r="Y422" t="s">
        <v>414</v>
      </c>
      <c r="Z422" t="s">
        <v>414</v>
      </c>
      <c r="AA422">
        <v>0</v>
      </c>
      <c r="AB422" t="s">
        <v>142</v>
      </c>
      <c r="AC422" t="s">
        <v>143</v>
      </c>
      <c r="AD422" t="s">
        <v>40</v>
      </c>
      <c r="AE422" t="str">
        <f t="shared" si="106"/>
        <v>10</v>
      </c>
      <c r="AF422" t="s">
        <v>40</v>
      </c>
    </row>
    <row r="423" spans="1:32" x14ac:dyDescent="0.25">
      <c r="A423">
        <v>5</v>
      </c>
      <c r="B423">
        <v>420</v>
      </c>
      <c r="C423" t="str">
        <f>"51"</f>
        <v>51</v>
      </c>
      <c r="D423">
        <v>6319</v>
      </c>
      <c r="E423" t="str">
        <f t="shared" si="104"/>
        <v>00</v>
      </c>
      <c r="F423" t="str">
        <f>"999"</f>
        <v>999</v>
      </c>
      <c r="G423">
        <v>5</v>
      </c>
      <c r="H423" t="str">
        <f>"99"</f>
        <v>99</v>
      </c>
      <c r="I423" t="str">
        <f t="shared" si="99"/>
        <v>0</v>
      </c>
      <c r="J423" t="str">
        <f t="shared" si="105"/>
        <v>00</v>
      </c>
      <c r="K423">
        <v>20141023</v>
      </c>
      <c r="L423" t="str">
        <f>"014522"</f>
        <v>014522</v>
      </c>
      <c r="M423" t="str">
        <f>"00152"</f>
        <v>00152</v>
      </c>
      <c r="N423" t="s">
        <v>413</v>
      </c>
      <c r="O423">
        <v>41.78</v>
      </c>
      <c r="Q423" t="s">
        <v>33</v>
      </c>
      <c r="R423" t="s">
        <v>34</v>
      </c>
      <c r="S423" t="s">
        <v>35</v>
      </c>
      <c r="T423" t="s">
        <v>35</v>
      </c>
      <c r="U423" t="s">
        <v>34</v>
      </c>
      <c r="V423" t="str">
        <f>""</f>
        <v/>
      </c>
      <c r="W423">
        <v>20141021</v>
      </c>
      <c r="X423" t="s">
        <v>185</v>
      </c>
      <c r="Y423" t="s">
        <v>415</v>
      </c>
      <c r="Z423" t="s">
        <v>415</v>
      </c>
      <c r="AA423">
        <v>0</v>
      </c>
      <c r="AB423" t="s">
        <v>142</v>
      </c>
      <c r="AC423" t="s">
        <v>143</v>
      </c>
      <c r="AD423" t="s">
        <v>40</v>
      </c>
      <c r="AE423" t="str">
        <f t="shared" si="106"/>
        <v>10</v>
      </c>
      <c r="AF423" t="s">
        <v>40</v>
      </c>
    </row>
    <row r="424" spans="1:32" x14ac:dyDescent="0.25">
      <c r="A424">
        <v>5</v>
      </c>
      <c r="B424">
        <v>211</v>
      </c>
      <c r="C424" t="str">
        <f>"11"</f>
        <v>11</v>
      </c>
      <c r="D424">
        <v>6399</v>
      </c>
      <c r="E424" t="str">
        <f t="shared" si="104"/>
        <v>00</v>
      </c>
      <c r="F424" t="str">
        <f>"041"</f>
        <v>041</v>
      </c>
      <c r="G424">
        <v>5</v>
      </c>
      <c r="H424" t="str">
        <f>"30"</f>
        <v>30</v>
      </c>
      <c r="I424" t="str">
        <f t="shared" si="99"/>
        <v>0</v>
      </c>
      <c r="J424" t="str">
        <f t="shared" si="105"/>
        <v>00</v>
      </c>
      <c r="K424">
        <v>20141023</v>
      </c>
      <c r="L424" t="str">
        <f>"014523"</f>
        <v>014523</v>
      </c>
      <c r="M424" t="str">
        <f>"00256"</f>
        <v>00256</v>
      </c>
      <c r="N424" t="s">
        <v>416</v>
      </c>
      <c r="O424">
        <v>116.66</v>
      </c>
      <c r="Q424" t="s">
        <v>33</v>
      </c>
      <c r="R424" t="s">
        <v>34</v>
      </c>
      <c r="S424" t="s">
        <v>35</v>
      </c>
      <c r="T424" t="s">
        <v>35</v>
      </c>
      <c r="U424" t="s">
        <v>34</v>
      </c>
      <c r="V424" t="str">
        <f>""</f>
        <v/>
      </c>
      <c r="W424">
        <v>20141021</v>
      </c>
      <c r="X424" t="s">
        <v>417</v>
      </c>
      <c r="Y424" t="s">
        <v>418</v>
      </c>
      <c r="Z424" t="s">
        <v>418</v>
      </c>
      <c r="AA424">
        <v>0</v>
      </c>
      <c r="AB424" t="s">
        <v>174</v>
      </c>
      <c r="AC424" t="s">
        <v>41</v>
      </c>
      <c r="AD424" t="s">
        <v>40</v>
      </c>
      <c r="AE424" t="str">
        <f t="shared" si="106"/>
        <v>10</v>
      </c>
      <c r="AF424" t="s">
        <v>40</v>
      </c>
    </row>
    <row r="425" spans="1:32" x14ac:dyDescent="0.25">
      <c r="A425">
        <v>5</v>
      </c>
      <c r="B425">
        <v>420</v>
      </c>
      <c r="C425" t="str">
        <f>"13"</f>
        <v>13</v>
      </c>
      <c r="D425">
        <v>6399</v>
      </c>
      <c r="E425" t="str">
        <f t="shared" si="104"/>
        <v>00</v>
      </c>
      <c r="F425" t="str">
        <f>"001"</f>
        <v>001</v>
      </c>
      <c r="G425">
        <v>5</v>
      </c>
      <c r="H425" t="str">
        <f>"11"</f>
        <v>11</v>
      </c>
      <c r="I425" t="str">
        <f t="shared" si="99"/>
        <v>0</v>
      </c>
      <c r="J425" t="str">
        <f t="shared" si="105"/>
        <v>00</v>
      </c>
      <c r="K425">
        <v>20141023</v>
      </c>
      <c r="L425" t="str">
        <f>"014524"</f>
        <v>014524</v>
      </c>
      <c r="M425" t="str">
        <f>"00301"</f>
        <v>00301</v>
      </c>
      <c r="N425" t="s">
        <v>397</v>
      </c>
      <c r="O425">
        <v>335.4</v>
      </c>
      <c r="Q425" t="s">
        <v>33</v>
      </c>
      <c r="R425" t="s">
        <v>34</v>
      </c>
      <c r="S425" t="s">
        <v>35</v>
      </c>
      <c r="T425" t="s">
        <v>35</v>
      </c>
      <c r="U425" t="s">
        <v>34</v>
      </c>
      <c r="V425" t="str">
        <f>""</f>
        <v/>
      </c>
      <c r="W425">
        <v>20141021</v>
      </c>
      <c r="X425" t="s">
        <v>390</v>
      </c>
      <c r="Y425" t="s">
        <v>419</v>
      </c>
      <c r="Z425" t="s">
        <v>419</v>
      </c>
      <c r="AA425">
        <v>0</v>
      </c>
      <c r="AB425" t="s">
        <v>142</v>
      </c>
      <c r="AC425" t="s">
        <v>41</v>
      </c>
      <c r="AD425" t="s">
        <v>40</v>
      </c>
      <c r="AE425" t="str">
        <f t="shared" si="106"/>
        <v>10</v>
      </c>
      <c r="AF425" t="s">
        <v>40</v>
      </c>
    </row>
    <row r="426" spans="1:32" x14ac:dyDescent="0.25">
      <c r="A426">
        <v>5</v>
      </c>
      <c r="B426">
        <v>420</v>
      </c>
      <c r="C426" t="str">
        <f>"13"</f>
        <v>13</v>
      </c>
      <c r="D426">
        <v>6399</v>
      </c>
      <c r="E426" t="str">
        <f t="shared" si="104"/>
        <v>00</v>
      </c>
      <c r="F426" t="str">
        <f>"041"</f>
        <v>041</v>
      </c>
      <c r="G426">
        <v>5</v>
      </c>
      <c r="H426" t="str">
        <f>"11"</f>
        <v>11</v>
      </c>
      <c r="I426" t="str">
        <f t="shared" si="99"/>
        <v>0</v>
      </c>
      <c r="J426" t="str">
        <f t="shared" si="105"/>
        <v>00</v>
      </c>
      <c r="K426">
        <v>20141023</v>
      </c>
      <c r="L426" t="str">
        <f>"014524"</f>
        <v>014524</v>
      </c>
      <c r="M426" t="str">
        <f>"00301"</f>
        <v>00301</v>
      </c>
      <c r="N426" t="s">
        <v>397</v>
      </c>
      <c r="O426">
        <v>631.79999999999995</v>
      </c>
      <c r="Q426" t="s">
        <v>33</v>
      </c>
      <c r="R426" t="s">
        <v>34</v>
      </c>
      <c r="S426" t="s">
        <v>35</v>
      </c>
      <c r="T426" t="s">
        <v>35</v>
      </c>
      <c r="U426" t="s">
        <v>34</v>
      </c>
      <c r="V426" t="str">
        <f>""</f>
        <v/>
      </c>
      <c r="W426">
        <v>20141021</v>
      </c>
      <c r="X426" t="s">
        <v>392</v>
      </c>
      <c r="Y426" t="s">
        <v>419</v>
      </c>
      <c r="Z426" t="s">
        <v>419</v>
      </c>
      <c r="AA426">
        <v>0</v>
      </c>
      <c r="AB426" t="s">
        <v>142</v>
      </c>
      <c r="AC426" t="s">
        <v>41</v>
      </c>
      <c r="AD426" t="s">
        <v>40</v>
      </c>
      <c r="AE426" t="str">
        <f t="shared" si="106"/>
        <v>10</v>
      </c>
      <c r="AF426" t="s">
        <v>40</v>
      </c>
    </row>
    <row r="427" spans="1:32" x14ac:dyDescent="0.25">
      <c r="A427">
        <v>5</v>
      </c>
      <c r="B427">
        <v>420</v>
      </c>
      <c r="C427" t="str">
        <f>"13"</f>
        <v>13</v>
      </c>
      <c r="D427">
        <v>6399</v>
      </c>
      <c r="E427" t="str">
        <f t="shared" si="104"/>
        <v>00</v>
      </c>
      <c r="F427" t="str">
        <f>"101"</f>
        <v>101</v>
      </c>
      <c r="G427">
        <v>5</v>
      </c>
      <c r="H427" t="str">
        <f>"11"</f>
        <v>11</v>
      </c>
      <c r="I427" t="str">
        <f t="shared" si="99"/>
        <v>0</v>
      </c>
      <c r="J427" t="str">
        <f t="shared" si="105"/>
        <v>00</v>
      </c>
      <c r="K427">
        <v>20141023</v>
      </c>
      <c r="L427" t="str">
        <f>"014524"</f>
        <v>014524</v>
      </c>
      <c r="M427" t="str">
        <f>"00301"</f>
        <v>00301</v>
      </c>
      <c r="N427" t="s">
        <v>397</v>
      </c>
      <c r="O427" s="1">
        <v>1495.2</v>
      </c>
      <c r="Q427" t="s">
        <v>33</v>
      </c>
      <c r="R427" t="s">
        <v>34</v>
      </c>
      <c r="S427" t="s">
        <v>35</v>
      </c>
      <c r="T427" t="s">
        <v>35</v>
      </c>
      <c r="U427" t="s">
        <v>34</v>
      </c>
      <c r="V427" t="str">
        <f>""</f>
        <v/>
      </c>
      <c r="W427">
        <v>20141023</v>
      </c>
      <c r="X427" t="s">
        <v>393</v>
      </c>
      <c r="Y427" t="s">
        <v>419</v>
      </c>
      <c r="Z427" t="s">
        <v>419</v>
      </c>
      <c r="AA427">
        <v>0</v>
      </c>
      <c r="AB427" t="s">
        <v>142</v>
      </c>
      <c r="AC427" t="s">
        <v>41</v>
      </c>
      <c r="AD427" t="s">
        <v>40</v>
      </c>
      <c r="AE427" t="str">
        <f t="shared" si="106"/>
        <v>10</v>
      </c>
      <c r="AF427" t="s">
        <v>40</v>
      </c>
    </row>
    <row r="428" spans="1:32" x14ac:dyDescent="0.25">
      <c r="A428">
        <v>5</v>
      </c>
      <c r="B428">
        <v>420</v>
      </c>
      <c r="C428" t="str">
        <f>"34"</f>
        <v>34</v>
      </c>
      <c r="D428">
        <v>6311</v>
      </c>
      <c r="E428" t="str">
        <f t="shared" si="104"/>
        <v>00</v>
      </c>
      <c r="F428" t="str">
        <f t="shared" ref="F428:F437" si="107">"999"</f>
        <v>999</v>
      </c>
      <c r="G428">
        <v>5</v>
      </c>
      <c r="H428" t="str">
        <f t="shared" ref="H428:H441" si="108">"99"</f>
        <v>99</v>
      </c>
      <c r="I428" t="str">
        <f t="shared" si="99"/>
        <v>0</v>
      </c>
      <c r="J428" t="str">
        <f t="shared" si="105"/>
        <v>00</v>
      </c>
      <c r="K428">
        <v>20141023</v>
      </c>
      <c r="L428" t="str">
        <f>"014525"</f>
        <v>014525</v>
      </c>
      <c r="M428" t="str">
        <f>"00532"</f>
        <v>00532</v>
      </c>
      <c r="N428" t="s">
        <v>300</v>
      </c>
      <c r="O428" s="1">
        <v>1520.54</v>
      </c>
      <c r="Q428" t="s">
        <v>33</v>
      </c>
      <c r="R428" t="s">
        <v>34</v>
      </c>
      <c r="S428" t="s">
        <v>35</v>
      </c>
      <c r="T428" t="s">
        <v>35</v>
      </c>
      <c r="U428" t="s">
        <v>34</v>
      </c>
      <c r="V428" t="str">
        <f>""</f>
        <v/>
      </c>
      <c r="W428">
        <v>20141023</v>
      </c>
      <c r="X428" t="s">
        <v>301</v>
      </c>
      <c r="Y428" t="s">
        <v>302</v>
      </c>
      <c r="Z428" t="s">
        <v>302</v>
      </c>
      <c r="AA428">
        <v>0</v>
      </c>
      <c r="AB428" t="s">
        <v>142</v>
      </c>
      <c r="AC428" t="s">
        <v>143</v>
      </c>
      <c r="AD428" t="s">
        <v>40</v>
      </c>
      <c r="AE428" t="str">
        <f t="shared" si="106"/>
        <v>10</v>
      </c>
      <c r="AF428" t="s">
        <v>40</v>
      </c>
    </row>
    <row r="429" spans="1:32" x14ac:dyDescent="0.25">
      <c r="A429">
        <v>5</v>
      </c>
      <c r="B429">
        <v>420</v>
      </c>
      <c r="C429" t="str">
        <f>"34"</f>
        <v>34</v>
      </c>
      <c r="D429">
        <v>6311</v>
      </c>
      <c r="E429" t="str">
        <f t="shared" si="104"/>
        <v>00</v>
      </c>
      <c r="F429" t="str">
        <f t="shared" si="107"/>
        <v>999</v>
      </c>
      <c r="G429">
        <v>5</v>
      </c>
      <c r="H429" t="str">
        <f t="shared" si="108"/>
        <v>99</v>
      </c>
      <c r="I429" t="str">
        <f t="shared" si="99"/>
        <v>0</v>
      </c>
      <c r="J429" t="str">
        <f t="shared" si="105"/>
        <v>00</v>
      </c>
      <c r="K429">
        <v>20141023</v>
      </c>
      <c r="L429" t="str">
        <f>"014525"</f>
        <v>014525</v>
      </c>
      <c r="M429" t="str">
        <f>"00532"</f>
        <v>00532</v>
      </c>
      <c r="N429" t="s">
        <v>300</v>
      </c>
      <c r="O429">
        <v>-114.09</v>
      </c>
      <c r="Q429" t="s">
        <v>33</v>
      </c>
      <c r="R429" t="s">
        <v>34</v>
      </c>
      <c r="S429" t="s">
        <v>35</v>
      </c>
      <c r="T429" t="s">
        <v>35</v>
      </c>
      <c r="U429" t="s">
        <v>34</v>
      </c>
      <c r="V429" t="s">
        <v>110</v>
      </c>
      <c r="W429">
        <v>20141023</v>
      </c>
      <c r="X429" t="s">
        <v>301</v>
      </c>
      <c r="Y429" t="s">
        <v>420</v>
      </c>
      <c r="Z429" t="s">
        <v>420</v>
      </c>
      <c r="AA429">
        <v>0</v>
      </c>
      <c r="AB429" t="s">
        <v>142</v>
      </c>
      <c r="AC429" t="s">
        <v>143</v>
      </c>
      <c r="AD429" t="s">
        <v>112</v>
      </c>
      <c r="AE429" t="str">
        <f t="shared" si="106"/>
        <v>10</v>
      </c>
      <c r="AF429" t="s">
        <v>40</v>
      </c>
    </row>
    <row r="430" spans="1:32" x14ac:dyDescent="0.25">
      <c r="A430">
        <v>5</v>
      </c>
      <c r="B430">
        <v>240</v>
      </c>
      <c r="C430" t="str">
        <f t="shared" ref="C430:C437" si="109">"35"</f>
        <v>35</v>
      </c>
      <c r="D430">
        <v>6319</v>
      </c>
      <c r="E430" t="str">
        <f t="shared" si="104"/>
        <v>00</v>
      </c>
      <c r="F430" t="str">
        <f t="shared" si="107"/>
        <v>999</v>
      </c>
      <c r="G430">
        <v>5</v>
      </c>
      <c r="H430" t="str">
        <f t="shared" si="108"/>
        <v>99</v>
      </c>
      <c r="I430" t="str">
        <f t="shared" si="99"/>
        <v>0</v>
      </c>
      <c r="J430" t="str">
        <f t="shared" si="105"/>
        <v>00</v>
      </c>
      <c r="K430">
        <v>20141023</v>
      </c>
      <c r="L430" t="str">
        <f t="shared" ref="L430:L437" si="110">"014526"</f>
        <v>014526</v>
      </c>
      <c r="M430" t="str">
        <f t="shared" ref="M430:M437" si="111">"00391"</f>
        <v>00391</v>
      </c>
      <c r="N430" t="s">
        <v>265</v>
      </c>
      <c r="O430">
        <v>62.05</v>
      </c>
      <c r="Q430" t="s">
        <v>33</v>
      </c>
      <c r="R430" t="s">
        <v>34</v>
      </c>
      <c r="S430" t="s">
        <v>35</v>
      </c>
      <c r="T430" t="s">
        <v>35</v>
      </c>
      <c r="U430" t="s">
        <v>34</v>
      </c>
      <c r="V430" t="str">
        <f>""</f>
        <v/>
      </c>
      <c r="W430">
        <v>20141021</v>
      </c>
      <c r="X430" t="s">
        <v>267</v>
      </c>
      <c r="Y430" t="s">
        <v>266</v>
      </c>
      <c r="Z430" t="s">
        <v>266</v>
      </c>
      <c r="AA430">
        <v>0</v>
      </c>
      <c r="AB430" t="s">
        <v>238</v>
      </c>
      <c r="AC430" t="s">
        <v>143</v>
      </c>
      <c r="AD430" t="s">
        <v>40</v>
      </c>
      <c r="AE430" t="str">
        <f t="shared" si="106"/>
        <v>10</v>
      </c>
      <c r="AF430" t="s">
        <v>40</v>
      </c>
    </row>
    <row r="431" spans="1:32" x14ac:dyDescent="0.25">
      <c r="A431">
        <v>5</v>
      </c>
      <c r="B431">
        <v>240</v>
      </c>
      <c r="C431" t="str">
        <f t="shared" si="109"/>
        <v>35</v>
      </c>
      <c r="D431">
        <v>6319</v>
      </c>
      <c r="E431" t="str">
        <f t="shared" si="104"/>
        <v>00</v>
      </c>
      <c r="F431" t="str">
        <f t="shared" si="107"/>
        <v>999</v>
      </c>
      <c r="G431">
        <v>5</v>
      </c>
      <c r="H431" t="str">
        <f t="shared" si="108"/>
        <v>99</v>
      </c>
      <c r="I431" t="str">
        <f t="shared" si="99"/>
        <v>0</v>
      </c>
      <c r="J431" t="str">
        <f t="shared" si="105"/>
        <v>00</v>
      </c>
      <c r="K431">
        <v>20141023</v>
      </c>
      <c r="L431" t="str">
        <f t="shared" si="110"/>
        <v>014526</v>
      </c>
      <c r="M431" t="str">
        <f t="shared" si="111"/>
        <v>00391</v>
      </c>
      <c r="N431" t="s">
        <v>265</v>
      </c>
      <c r="O431">
        <v>49.37</v>
      </c>
      <c r="Q431" t="s">
        <v>33</v>
      </c>
      <c r="R431" t="s">
        <v>34</v>
      </c>
      <c r="S431" t="s">
        <v>35</v>
      </c>
      <c r="T431" t="s">
        <v>35</v>
      </c>
      <c r="U431" t="s">
        <v>34</v>
      </c>
      <c r="V431" t="str">
        <f>""</f>
        <v/>
      </c>
      <c r="W431">
        <v>20141021</v>
      </c>
      <c r="X431" t="s">
        <v>267</v>
      </c>
      <c r="Y431" t="s">
        <v>266</v>
      </c>
      <c r="Z431" t="s">
        <v>266</v>
      </c>
      <c r="AA431">
        <v>0</v>
      </c>
      <c r="AB431" t="s">
        <v>238</v>
      </c>
      <c r="AC431" t="s">
        <v>143</v>
      </c>
      <c r="AD431" t="s">
        <v>40</v>
      </c>
      <c r="AE431" t="str">
        <f t="shared" si="106"/>
        <v>10</v>
      </c>
      <c r="AF431" t="s">
        <v>40</v>
      </c>
    </row>
    <row r="432" spans="1:32" x14ac:dyDescent="0.25">
      <c r="A432">
        <v>5</v>
      </c>
      <c r="B432">
        <v>240</v>
      </c>
      <c r="C432" t="str">
        <f t="shared" si="109"/>
        <v>35</v>
      </c>
      <c r="D432">
        <v>6341</v>
      </c>
      <c r="E432" t="str">
        <f t="shared" si="104"/>
        <v>00</v>
      </c>
      <c r="F432" t="str">
        <f t="shared" si="107"/>
        <v>999</v>
      </c>
      <c r="G432">
        <v>5</v>
      </c>
      <c r="H432" t="str">
        <f t="shared" si="108"/>
        <v>99</v>
      </c>
      <c r="I432" t="str">
        <f t="shared" si="99"/>
        <v>0</v>
      </c>
      <c r="J432" t="str">
        <f t="shared" si="105"/>
        <v>00</v>
      </c>
      <c r="K432">
        <v>20141023</v>
      </c>
      <c r="L432" t="str">
        <f t="shared" si="110"/>
        <v>014526</v>
      </c>
      <c r="M432" t="str">
        <f t="shared" si="111"/>
        <v>00391</v>
      </c>
      <c r="N432" t="s">
        <v>265</v>
      </c>
      <c r="O432" s="1">
        <v>3191.48</v>
      </c>
      <c r="Q432" t="s">
        <v>33</v>
      </c>
      <c r="R432" t="s">
        <v>34</v>
      </c>
      <c r="S432" t="s">
        <v>35</v>
      </c>
      <c r="T432" t="s">
        <v>35</v>
      </c>
      <c r="U432" t="s">
        <v>34</v>
      </c>
      <c r="V432" t="str">
        <f>""</f>
        <v/>
      </c>
      <c r="W432">
        <v>20141021</v>
      </c>
      <c r="X432" t="s">
        <v>268</v>
      </c>
      <c r="Y432" t="s">
        <v>266</v>
      </c>
      <c r="Z432" t="s">
        <v>266</v>
      </c>
      <c r="AA432">
        <v>0</v>
      </c>
      <c r="AB432" t="s">
        <v>238</v>
      </c>
      <c r="AC432" t="s">
        <v>143</v>
      </c>
      <c r="AD432" t="s">
        <v>40</v>
      </c>
      <c r="AE432" t="str">
        <f t="shared" si="106"/>
        <v>10</v>
      </c>
      <c r="AF432" t="s">
        <v>40</v>
      </c>
    </row>
    <row r="433" spans="1:32" x14ac:dyDescent="0.25">
      <c r="A433">
        <v>5</v>
      </c>
      <c r="B433">
        <v>240</v>
      </c>
      <c r="C433" t="str">
        <f t="shared" si="109"/>
        <v>35</v>
      </c>
      <c r="D433">
        <v>6341</v>
      </c>
      <c r="E433" t="str">
        <f t="shared" si="104"/>
        <v>00</v>
      </c>
      <c r="F433" t="str">
        <f t="shared" si="107"/>
        <v>999</v>
      </c>
      <c r="G433">
        <v>5</v>
      </c>
      <c r="H433" t="str">
        <f t="shared" si="108"/>
        <v>99</v>
      </c>
      <c r="I433" t="str">
        <f t="shared" si="99"/>
        <v>0</v>
      </c>
      <c r="J433" t="str">
        <f t="shared" si="105"/>
        <v>00</v>
      </c>
      <c r="K433">
        <v>20141023</v>
      </c>
      <c r="L433" t="str">
        <f t="shared" si="110"/>
        <v>014526</v>
      </c>
      <c r="M433" t="str">
        <f t="shared" si="111"/>
        <v>00391</v>
      </c>
      <c r="N433" t="s">
        <v>265</v>
      </c>
      <c r="O433">
        <v>569.42999999999995</v>
      </c>
      <c r="Q433" t="s">
        <v>33</v>
      </c>
      <c r="R433" t="s">
        <v>34</v>
      </c>
      <c r="S433" t="s">
        <v>35</v>
      </c>
      <c r="T433" t="s">
        <v>35</v>
      </c>
      <c r="U433" t="s">
        <v>34</v>
      </c>
      <c r="V433" t="str">
        <f>""</f>
        <v/>
      </c>
      <c r="W433">
        <v>20141021</v>
      </c>
      <c r="X433" t="s">
        <v>268</v>
      </c>
      <c r="Y433" t="s">
        <v>266</v>
      </c>
      <c r="Z433" t="s">
        <v>266</v>
      </c>
      <c r="AA433">
        <v>0</v>
      </c>
      <c r="AB433" t="s">
        <v>238</v>
      </c>
      <c r="AC433" t="s">
        <v>143</v>
      </c>
      <c r="AD433" t="s">
        <v>40</v>
      </c>
      <c r="AE433" t="str">
        <f t="shared" si="106"/>
        <v>10</v>
      </c>
      <c r="AF433" t="s">
        <v>40</v>
      </c>
    </row>
    <row r="434" spans="1:32" x14ac:dyDescent="0.25">
      <c r="A434">
        <v>5</v>
      </c>
      <c r="B434">
        <v>240</v>
      </c>
      <c r="C434" t="str">
        <f t="shared" si="109"/>
        <v>35</v>
      </c>
      <c r="D434">
        <v>6341</v>
      </c>
      <c r="E434" t="str">
        <f t="shared" si="104"/>
        <v>00</v>
      </c>
      <c r="F434" t="str">
        <f t="shared" si="107"/>
        <v>999</v>
      </c>
      <c r="G434">
        <v>5</v>
      </c>
      <c r="H434" t="str">
        <f t="shared" si="108"/>
        <v>99</v>
      </c>
      <c r="I434" t="str">
        <f t="shared" si="99"/>
        <v>0</v>
      </c>
      <c r="J434" t="str">
        <f t="shared" si="105"/>
        <v>00</v>
      </c>
      <c r="K434">
        <v>20141023</v>
      </c>
      <c r="L434" t="str">
        <f t="shared" si="110"/>
        <v>014526</v>
      </c>
      <c r="M434" t="str">
        <f t="shared" si="111"/>
        <v>00391</v>
      </c>
      <c r="N434" t="s">
        <v>265</v>
      </c>
      <c r="O434">
        <v>420.45</v>
      </c>
      <c r="Q434" t="s">
        <v>33</v>
      </c>
      <c r="R434" t="s">
        <v>34</v>
      </c>
      <c r="S434" t="s">
        <v>35</v>
      </c>
      <c r="T434" t="s">
        <v>35</v>
      </c>
      <c r="U434" t="s">
        <v>34</v>
      </c>
      <c r="V434" t="str">
        <f>""</f>
        <v/>
      </c>
      <c r="W434">
        <v>20141021</v>
      </c>
      <c r="X434" t="s">
        <v>268</v>
      </c>
      <c r="Y434" t="s">
        <v>266</v>
      </c>
      <c r="Z434" t="s">
        <v>266</v>
      </c>
      <c r="AA434">
        <v>0</v>
      </c>
      <c r="AB434" t="s">
        <v>238</v>
      </c>
      <c r="AC434" t="s">
        <v>143</v>
      </c>
      <c r="AD434" t="s">
        <v>40</v>
      </c>
      <c r="AE434" t="str">
        <f t="shared" si="106"/>
        <v>10</v>
      </c>
      <c r="AF434" t="s">
        <v>40</v>
      </c>
    </row>
    <row r="435" spans="1:32" x14ac:dyDescent="0.25">
      <c r="A435">
        <v>5</v>
      </c>
      <c r="B435">
        <v>240</v>
      </c>
      <c r="C435" t="str">
        <f t="shared" si="109"/>
        <v>35</v>
      </c>
      <c r="D435">
        <v>6341</v>
      </c>
      <c r="E435" t="str">
        <f t="shared" si="104"/>
        <v>00</v>
      </c>
      <c r="F435" t="str">
        <f t="shared" si="107"/>
        <v>999</v>
      </c>
      <c r="G435">
        <v>5</v>
      </c>
      <c r="H435" t="str">
        <f t="shared" si="108"/>
        <v>99</v>
      </c>
      <c r="I435" t="str">
        <f t="shared" si="99"/>
        <v>0</v>
      </c>
      <c r="J435" t="str">
        <f t="shared" si="105"/>
        <v>00</v>
      </c>
      <c r="K435">
        <v>20141023</v>
      </c>
      <c r="L435" t="str">
        <f t="shared" si="110"/>
        <v>014526</v>
      </c>
      <c r="M435" t="str">
        <f t="shared" si="111"/>
        <v>00391</v>
      </c>
      <c r="N435" t="s">
        <v>265</v>
      </c>
      <c r="O435" s="1">
        <v>3264.42</v>
      </c>
      <c r="Q435" t="s">
        <v>33</v>
      </c>
      <c r="R435" t="s">
        <v>34</v>
      </c>
      <c r="S435" t="s">
        <v>35</v>
      </c>
      <c r="T435" t="s">
        <v>35</v>
      </c>
      <c r="U435" t="s">
        <v>34</v>
      </c>
      <c r="V435" t="str">
        <f>""</f>
        <v/>
      </c>
      <c r="W435">
        <v>20141021</v>
      </c>
      <c r="X435" t="s">
        <v>268</v>
      </c>
      <c r="Y435" t="s">
        <v>266</v>
      </c>
      <c r="Z435" t="s">
        <v>266</v>
      </c>
      <c r="AA435">
        <v>0</v>
      </c>
      <c r="AB435" t="s">
        <v>238</v>
      </c>
      <c r="AC435" t="s">
        <v>143</v>
      </c>
      <c r="AD435" t="s">
        <v>40</v>
      </c>
      <c r="AE435" t="str">
        <f t="shared" si="106"/>
        <v>10</v>
      </c>
      <c r="AF435" t="s">
        <v>40</v>
      </c>
    </row>
    <row r="436" spans="1:32" x14ac:dyDescent="0.25">
      <c r="A436">
        <v>5</v>
      </c>
      <c r="B436">
        <v>240</v>
      </c>
      <c r="C436" t="str">
        <f t="shared" si="109"/>
        <v>35</v>
      </c>
      <c r="D436">
        <v>6342</v>
      </c>
      <c r="E436" t="str">
        <f t="shared" si="104"/>
        <v>00</v>
      </c>
      <c r="F436" t="str">
        <f t="shared" si="107"/>
        <v>999</v>
      </c>
      <c r="G436">
        <v>5</v>
      </c>
      <c r="H436" t="str">
        <f t="shared" si="108"/>
        <v>99</v>
      </c>
      <c r="I436" t="str">
        <f t="shared" si="99"/>
        <v>0</v>
      </c>
      <c r="J436" t="str">
        <f t="shared" si="105"/>
        <v>00</v>
      </c>
      <c r="K436">
        <v>20141023</v>
      </c>
      <c r="L436" t="str">
        <f t="shared" si="110"/>
        <v>014526</v>
      </c>
      <c r="M436" t="str">
        <f t="shared" si="111"/>
        <v>00391</v>
      </c>
      <c r="N436" t="s">
        <v>265</v>
      </c>
      <c r="O436">
        <v>326.22000000000003</v>
      </c>
      <c r="Q436" t="s">
        <v>33</v>
      </c>
      <c r="R436" t="s">
        <v>34</v>
      </c>
      <c r="S436" t="s">
        <v>35</v>
      </c>
      <c r="T436" t="s">
        <v>35</v>
      </c>
      <c r="U436" t="s">
        <v>34</v>
      </c>
      <c r="V436" t="str">
        <f>""</f>
        <v/>
      </c>
      <c r="W436">
        <v>20141021</v>
      </c>
      <c r="X436" t="s">
        <v>269</v>
      </c>
      <c r="Y436" t="s">
        <v>266</v>
      </c>
      <c r="Z436" t="s">
        <v>266</v>
      </c>
      <c r="AA436">
        <v>0</v>
      </c>
      <c r="AB436" t="s">
        <v>238</v>
      </c>
      <c r="AC436" t="s">
        <v>143</v>
      </c>
      <c r="AD436" t="s">
        <v>40</v>
      </c>
      <c r="AE436" t="str">
        <f t="shared" si="106"/>
        <v>10</v>
      </c>
      <c r="AF436" t="s">
        <v>40</v>
      </c>
    </row>
    <row r="437" spans="1:32" x14ac:dyDescent="0.25">
      <c r="A437">
        <v>5</v>
      </c>
      <c r="B437">
        <v>240</v>
      </c>
      <c r="C437" t="str">
        <f t="shared" si="109"/>
        <v>35</v>
      </c>
      <c r="D437">
        <v>6342</v>
      </c>
      <c r="E437" t="str">
        <f t="shared" si="104"/>
        <v>00</v>
      </c>
      <c r="F437" t="str">
        <f t="shared" si="107"/>
        <v>999</v>
      </c>
      <c r="G437">
        <v>5</v>
      </c>
      <c r="H437" t="str">
        <f t="shared" si="108"/>
        <v>99</v>
      </c>
      <c r="I437" t="str">
        <f t="shared" si="99"/>
        <v>0</v>
      </c>
      <c r="J437" t="str">
        <f t="shared" si="105"/>
        <v>00</v>
      </c>
      <c r="K437">
        <v>20141023</v>
      </c>
      <c r="L437" t="str">
        <f t="shared" si="110"/>
        <v>014526</v>
      </c>
      <c r="M437" t="str">
        <f t="shared" si="111"/>
        <v>00391</v>
      </c>
      <c r="N437" t="s">
        <v>265</v>
      </c>
      <c r="O437">
        <v>159.04</v>
      </c>
      <c r="Q437" t="s">
        <v>33</v>
      </c>
      <c r="R437" t="s">
        <v>34</v>
      </c>
      <c r="S437" t="s">
        <v>35</v>
      </c>
      <c r="T437" t="s">
        <v>35</v>
      </c>
      <c r="U437" t="s">
        <v>34</v>
      </c>
      <c r="V437" t="str">
        <f>""</f>
        <v/>
      </c>
      <c r="W437">
        <v>20141021</v>
      </c>
      <c r="X437" t="s">
        <v>269</v>
      </c>
      <c r="Y437" t="s">
        <v>266</v>
      </c>
      <c r="Z437" t="s">
        <v>266</v>
      </c>
      <c r="AA437">
        <v>0</v>
      </c>
      <c r="AB437" t="s">
        <v>238</v>
      </c>
      <c r="AC437" t="s">
        <v>143</v>
      </c>
      <c r="AD437" t="s">
        <v>40</v>
      </c>
      <c r="AE437" t="str">
        <f t="shared" si="106"/>
        <v>10</v>
      </c>
      <c r="AF437" t="s">
        <v>40</v>
      </c>
    </row>
    <row r="438" spans="1:32" x14ac:dyDescent="0.25">
      <c r="A438">
        <v>5</v>
      </c>
      <c r="B438">
        <v>420</v>
      </c>
      <c r="C438" t="str">
        <f>"41"</f>
        <v>41</v>
      </c>
      <c r="D438">
        <v>6219</v>
      </c>
      <c r="E438" t="str">
        <f t="shared" si="104"/>
        <v>00</v>
      </c>
      <c r="F438" t="str">
        <f>"750"</f>
        <v>750</v>
      </c>
      <c r="G438">
        <v>5</v>
      </c>
      <c r="H438" t="str">
        <f t="shared" si="108"/>
        <v>99</v>
      </c>
      <c r="I438" t="str">
        <f t="shared" si="99"/>
        <v>0</v>
      </c>
      <c r="J438" t="str">
        <f t="shared" si="105"/>
        <v>00</v>
      </c>
      <c r="K438">
        <v>20141023</v>
      </c>
      <c r="L438" t="str">
        <f>"014527"</f>
        <v>014527</v>
      </c>
      <c r="M438" t="str">
        <f>"00678"</f>
        <v>00678</v>
      </c>
      <c r="N438" t="s">
        <v>270</v>
      </c>
      <c r="O438" s="1">
        <v>1421.42</v>
      </c>
      <c r="Q438" t="s">
        <v>33</v>
      </c>
      <c r="R438" t="s">
        <v>34</v>
      </c>
      <c r="S438" t="s">
        <v>35</v>
      </c>
      <c r="T438" t="s">
        <v>35</v>
      </c>
      <c r="U438" t="s">
        <v>34</v>
      </c>
      <c r="V438" t="str">
        <f>""</f>
        <v/>
      </c>
      <c r="W438">
        <v>20141023</v>
      </c>
      <c r="X438" t="s">
        <v>255</v>
      </c>
      <c r="Y438" t="s">
        <v>271</v>
      </c>
      <c r="Z438" t="s">
        <v>271</v>
      </c>
      <c r="AA438">
        <v>0</v>
      </c>
      <c r="AB438" t="s">
        <v>142</v>
      </c>
      <c r="AC438" t="s">
        <v>170</v>
      </c>
      <c r="AD438" t="s">
        <v>40</v>
      </c>
      <c r="AE438" t="str">
        <f t="shared" si="106"/>
        <v>10</v>
      </c>
      <c r="AF438" t="s">
        <v>40</v>
      </c>
    </row>
    <row r="439" spans="1:32" x14ac:dyDescent="0.25">
      <c r="A439">
        <v>5</v>
      </c>
      <c r="B439">
        <v>240</v>
      </c>
      <c r="C439" t="str">
        <f>"35"</f>
        <v>35</v>
      </c>
      <c r="D439">
        <v>6299</v>
      </c>
      <c r="E439" t="str">
        <f t="shared" si="104"/>
        <v>00</v>
      </c>
      <c r="F439" t="str">
        <f>"999"</f>
        <v>999</v>
      </c>
      <c r="G439">
        <v>5</v>
      </c>
      <c r="H439" t="str">
        <f t="shared" si="108"/>
        <v>99</v>
      </c>
      <c r="I439" t="str">
        <f t="shared" si="99"/>
        <v>0</v>
      </c>
      <c r="J439" t="str">
        <f t="shared" si="105"/>
        <v>00</v>
      </c>
      <c r="K439">
        <v>20141023</v>
      </c>
      <c r="L439" t="str">
        <f>"014528"</f>
        <v>014528</v>
      </c>
      <c r="M439" t="str">
        <f>"00577"</f>
        <v>00577</v>
      </c>
      <c r="N439" t="s">
        <v>251</v>
      </c>
      <c r="O439">
        <v>39.04</v>
      </c>
      <c r="Q439" t="s">
        <v>33</v>
      </c>
      <c r="R439" t="s">
        <v>34</v>
      </c>
      <c r="S439" t="s">
        <v>35</v>
      </c>
      <c r="T439" t="s">
        <v>35</v>
      </c>
      <c r="U439" t="s">
        <v>34</v>
      </c>
      <c r="V439" t="str">
        <f>""</f>
        <v/>
      </c>
      <c r="W439">
        <v>20141021</v>
      </c>
      <c r="X439" t="s">
        <v>252</v>
      </c>
      <c r="Y439" t="s">
        <v>253</v>
      </c>
      <c r="Z439" t="s">
        <v>253</v>
      </c>
      <c r="AA439">
        <v>0</v>
      </c>
      <c r="AB439" t="s">
        <v>238</v>
      </c>
      <c r="AC439" t="s">
        <v>143</v>
      </c>
      <c r="AD439" t="s">
        <v>40</v>
      </c>
      <c r="AE439" t="str">
        <f t="shared" si="106"/>
        <v>10</v>
      </c>
      <c r="AF439" t="s">
        <v>40</v>
      </c>
    </row>
    <row r="440" spans="1:32" x14ac:dyDescent="0.25">
      <c r="A440">
        <v>5</v>
      </c>
      <c r="B440">
        <v>420</v>
      </c>
      <c r="C440" t="str">
        <f>"51"</f>
        <v>51</v>
      </c>
      <c r="D440">
        <v>6299</v>
      </c>
      <c r="E440" t="str">
        <f t="shared" si="104"/>
        <v>00</v>
      </c>
      <c r="F440" t="str">
        <f>"999"</f>
        <v>999</v>
      </c>
      <c r="G440">
        <v>5</v>
      </c>
      <c r="H440" t="str">
        <f t="shared" si="108"/>
        <v>99</v>
      </c>
      <c r="I440" t="str">
        <f t="shared" si="99"/>
        <v>0</v>
      </c>
      <c r="J440" t="str">
        <f t="shared" si="105"/>
        <v>00</v>
      </c>
      <c r="K440">
        <v>20141023</v>
      </c>
      <c r="L440" t="str">
        <f>"014528"</f>
        <v>014528</v>
      </c>
      <c r="M440" t="str">
        <f>"00577"</f>
        <v>00577</v>
      </c>
      <c r="N440" t="s">
        <v>251</v>
      </c>
      <c r="O440">
        <v>39.04</v>
      </c>
      <c r="Q440" t="s">
        <v>33</v>
      </c>
      <c r="R440" t="s">
        <v>34</v>
      </c>
      <c r="S440" t="s">
        <v>35</v>
      </c>
      <c r="T440" t="s">
        <v>35</v>
      </c>
      <c r="U440" t="s">
        <v>34</v>
      </c>
      <c r="V440" t="str">
        <f>""</f>
        <v/>
      </c>
      <c r="W440">
        <v>20141021</v>
      </c>
      <c r="X440" t="s">
        <v>203</v>
      </c>
      <c r="Y440" t="s">
        <v>253</v>
      </c>
      <c r="Z440" t="s">
        <v>253</v>
      </c>
      <c r="AA440">
        <v>0</v>
      </c>
      <c r="AB440" t="s">
        <v>142</v>
      </c>
      <c r="AC440" t="s">
        <v>143</v>
      </c>
      <c r="AD440" t="s">
        <v>40</v>
      </c>
      <c r="AE440" t="str">
        <f t="shared" si="106"/>
        <v>10</v>
      </c>
      <c r="AF440" t="s">
        <v>40</v>
      </c>
    </row>
    <row r="441" spans="1:32" x14ac:dyDescent="0.25">
      <c r="A441">
        <v>5</v>
      </c>
      <c r="B441">
        <v>420</v>
      </c>
      <c r="C441" t="str">
        <f>"34"</f>
        <v>34</v>
      </c>
      <c r="D441">
        <v>6513</v>
      </c>
      <c r="E441" t="str">
        <f t="shared" ref="E441:E468" si="112">"00"</f>
        <v>00</v>
      </c>
      <c r="F441" t="str">
        <f>"999"</f>
        <v>999</v>
      </c>
      <c r="G441">
        <v>5</v>
      </c>
      <c r="H441" t="str">
        <f t="shared" si="108"/>
        <v>99</v>
      </c>
      <c r="I441" t="str">
        <f t="shared" si="99"/>
        <v>0</v>
      </c>
      <c r="J441" t="str">
        <f t="shared" si="105"/>
        <v>00</v>
      </c>
      <c r="K441">
        <v>20141023</v>
      </c>
      <c r="L441" t="str">
        <f>"014529"</f>
        <v>014529</v>
      </c>
      <c r="M441" t="str">
        <f>"00520"</f>
        <v>00520</v>
      </c>
      <c r="N441" t="s">
        <v>329</v>
      </c>
      <c r="O441" s="1">
        <v>34637.22</v>
      </c>
      <c r="Q441" t="s">
        <v>33</v>
      </c>
      <c r="R441" t="s">
        <v>34</v>
      </c>
      <c r="S441" t="s">
        <v>35</v>
      </c>
      <c r="T441" t="s">
        <v>35</v>
      </c>
      <c r="U441" t="s">
        <v>34</v>
      </c>
      <c r="V441" t="str">
        <f>""</f>
        <v/>
      </c>
      <c r="W441">
        <v>20141023</v>
      </c>
      <c r="X441" t="s">
        <v>330</v>
      </c>
      <c r="Y441" t="s">
        <v>421</v>
      </c>
      <c r="Z441" t="s">
        <v>421</v>
      </c>
      <c r="AA441">
        <v>0</v>
      </c>
      <c r="AB441" t="s">
        <v>142</v>
      </c>
      <c r="AC441" t="s">
        <v>143</v>
      </c>
      <c r="AD441" t="s">
        <v>40</v>
      </c>
      <c r="AE441" t="str">
        <f t="shared" si="106"/>
        <v>10</v>
      </c>
      <c r="AF441" t="s">
        <v>40</v>
      </c>
    </row>
    <row r="442" spans="1:32" x14ac:dyDescent="0.25">
      <c r="A442">
        <v>5</v>
      </c>
      <c r="B442">
        <v>211</v>
      </c>
      <c r="C442" t="str">
        <f>"11"</f>
        <v>11</v>
      </c>
      <c r="D442">
        <v>6219</v>
      </c>
      <c r="E442" t="str">
        <f t="shared" si="112"/>
        <v>00</v>
      </c>
      <c r="F442" t="str">
        <f>"001"</f>
        <v>001</v>
      </c>
      <c r="G442">
        <v>5</v>
      </c>
      <c r="H442" t="str">
        <f>"30"</f>
        <v>30</v>
      </c>
      <c r="I442" t="str">
        <f t="shared" si="99"/>
        <v>0</v>
      </c>
      <c r="J442" t="str">
        <f t="shared" si="105"/>
        <v>00</v>
      </c>
      <c r="K442">
        <v>20141030</v>
      </c>
      <c r="L442" t="str">
        <f t="shared" ref="L442:L468" si="113">"014530"</f>
        <v>014530</v>
      </c>
      <c r="M442" t="str">
        <f t="shared" ref="M442:M468" si="114">"00015"</f>
        <v>00015</v>
      </c>
      <c r="N442" t="s">
        <v>44</v>
      </c>
      <c r="O442">
        <v>182</v>
      </c>
      <c r="Q442" t="s">
        <v>33</v>
      </c>
      <c r="R442" t="s">
        <v>34</v>
      </c>
      <c r="S442" t="s">
        <v>35</v>
      </c>
      <c r="T442" t="s">
        <v>35</v>
      </c>
      <c r="U442" t="s">
        <v>34</v>
      </c>
      <c r="V442" t="str">
        <f>""</f>
        <v/>
      </c>
      <c r="W442">
        <v>20141024</v>
      </c>
      <c r="X442" t="s">
        <v>173</v>
      </c>
      <c r="Y442" t="s">
        <v>327</v>
      </c>
      <c r="Z442" t="s">
        <v>327</v>
      </c>
      <c r="AA442">
        <v>0</v>
      </c>
      <c r="AB442" t="s">
        <v>174</v>
      </c>
      <c r="AC442" t="s">
        <v>41</v>
      </c>
      <c r="AD442" t="s">
        <v>40</v>
      </c>
      <c r="AE442" t="str">
        <f t="shared" si="106"/>
        <v>10</v>
      </c>
      <c r="AF442" t="s">
        <v>40</v>
      </c>
    </row>
    <row r="443" spans="1:32" x14ac:dyDescent="0.25">
      <c r="A443">
        <v>5</v>
      </c>
      <c r="B443">
        <v>211</v>
      </c>
      <c r="C443" t="str">
        <f>"11"</f>
        <v>11</v>
      </c>
      <c r="D443">
        <v>6219</v>
      </c>
      <c r="E443" t="str">
        <f t="shared" si="112"/>
        <v>00</v>
      </c>
      <c r="F443" t="str">
        <f>"041"</f>
        <v>041</v>
      </c>
      <c r="G443">
        <v>5</v>
      </c>
      <c r="H443" t="str">
        <f>"30"</f>
        <v>30</v>
      </c>
      <c r="I443" t="str">
        <f t="shared" si="99"/>
        <v>0</v>
      </c>
      <c r="J443" t="str">
        <f t="shared" si="105"/>
        <v>00</v>
      </c>
      <c r="K443">
        <v>20141030</v>
      </c>
      <c r="L443" t="str">
        <f t="shared" si="113"/>
        <v>014530</v>
      </c>
      <c r="M443" t="str">
        <f t="shared" si="114"/>
        <v>00015</v>
      </c>
      <c r="N443" t="s">
        <v>44</v>
      </c>
      <c r="O443">
        <v>182</v>
      </c>
      <c r="Q443" t="s">
        <v>33</v>
      </c>
      <c r="R443" t="s">
        <v>34</v>
      </c>
      <c r="S443" t="s">
        <v>35</v>
      </c>
      <c r="T443" t="s">
        <v>35</v>
      </c>
      <c r="U443" t="s">
        <v>34</v>
      </c>
      <c r="V443" t="str">
        <f>""</f>
        <v/>
      </c>
      <c r="W443">
        <v>20141024</v>
      </c>
      <c r="X443" t="s">
        <v>175</v>
      </c>
      <c r="Y443" t="s">
        <v>327</v>
      </c>
      <c r="Z443" t="s">
        <v>327</v>
      </c>
      <c r="AA443">
        <v>0</v>
      </c>
      <c r="AB443" t="s">
        <v>174</v>
      </c>
      <c r="AC443" t="s">
        <v>41</v>
      </c>
      <c r="AD443" t="s">
        <v>40</v>
      </c>
      <c r="AE443" t="str">
        <f t="shared" si="106"/>
        <v>10</v>
      </c>
      <c r="AF443" t="s">
        <v>40</v>
      </c>
    </row>
    <row r="444" spans="1:32" x14ac:dyDescent="0.25">
      <c r="A444">
        <v>5</v>
      </c>
      <c r="B444">
        <v>211</v>
      </c>
      <c r="C444" t="str">
        <f>"11"</f>
        <v>11</v>
      </c>
      <c r="D444">
        <v>6219</v>
      </c>
      <c r="E444" t="str">
        <f t="shared" si="112"/>
        <v>00</v>
      </c>
      <c r="F444" t="str">
        <f>"041"</f>
        <v>041</v>
      </c>
      <c r="G444">
        <v>5</v>
      </c>
      <c r="H444" t="str">
        <f>"30"</f>
        <v>30</v>
      </c>
      <c r="I444" t="str">
        <f t="shared" si="99"/>
        <v>0</v>
      </c>
      <c r="J444" t="str">
        <f t="shared" si="105"/>
        <v>00</v>
      </c>
      <c r="K444">
        <v>20141030</v>
      </c>
      <c r="L444" t="str">
        <f t="shared" si="113"/>
        <v>014530</v>
      </c>
      <c r="M444" t="str">
        <f t="shared" si="114"/>
        <v>00015</v>
      </c>
      <c r="N444" t="s">
        <v>44</v>
      </c>
      <c r="O444">
        <v>182</v>
      </c>
      <c r="Q444" t="s">
        <v>33</v>
      </c>
      <c r="R444" t="s">
        <v>34</v>
      </c>
      <c r="S444" t="s">
        <v>35</v>
      </c>
      <c r="T444" t="s">
        <v>35</v>
      </c>
      <c r="U444" t="s">
        <v>34</v>
      </c>
      <c r="V444" t="str">
        <f>""</f>
        <v/>
      </c>
      <c r="W444">
        <v>20141024</v>
      </c>
      <c r="X444" t="s">
        <v>175</v>
      </c>
      <c r="Y444" t="s">
        <v>327</v>
      </c>
      <c r="Z444" t="s">
        <v>327</v>
      </c>
      <c r="AA444">
        <v>0</v>
      </c>
      <c r="AB444" t="s">
        <v>174</v>
      </c>
      <c r="AC444" t="s">
        <v>41</v>
      </c>
      <c r="AD444" t="s">
        <v>40</v>
      </c>
      <c r="AE444" t="str">
        <f t="shared" si="106"/>
        <v>10</v>
      </c>
      <c r="AF444" t="s">
        <v>40</v>
      </c>
    </row>
    <row r="445" spans="1:32" x14ac:dyDescent="0.25">
      <c r="A445">
        <v>5</v>
      </c>
      <c r="B445">
        <v>211</v>
      </c>
      <c r="C445" t="str">
        <f>"11"</f>
        <v>11</v>
      </c>
      <c r="D445">
        <v>6399</v>
      </c>
      <c r="E445" t="str">
        <f t="shared" si="112"/>
        <v>00</v>
      </c>
      <c r="F445" t="str">
        <f>"101"</f>
        <v>101</v>
      </c>
      <c r="G445">
        <v>5</v>
      </c>
      <c r="H445" t="str">
        <f>"30"</f>
        <v>30</v>
      </c>
      <c r="I445" t="str">
        <f t="shared" si="99"/>
        <v>0</v>
      </c>
      <c r="J445" t="str">
        <f t="shared" si="105"/>
        <v>00</v>
      </c>
      <c r="K445">
        <v>20141030</v>
      </c>
      <c r="L445" t="str">
        <f t="shared" si="113"/>
        <v>014530</v>
      </c>
      <c r="M445" t="str">
        <f t="shared" si="114"/>
        <v>00015</v>
      </c>
      <c r="N445" t="s">
        <v>44</v>
      </c>
      <c r="O445">
        <v>297</v>
      </c>
      <c r="Q445" t="s">
        <v>33</v>
      </c>
      <c r="R445" t="s">
        <v>34</v>
      </c>
      <c r="S445" t="s">
        <v>35</v>
      </c>
      <c r="T445" t="s">
        <v>35</v>
      </c>
      <c r="U445" t="s">
        <v>34</v>
      </c>
      <c r="V445" t="str">
        <f>""</f>
        <v/>
      </c>
      <c r="W445">
        <v>20141024</v>
      </c>
      <c r="X445" t="s">
        <v>422</v>
      </c>
      <c r="Y445" t="s">
        <v>423</v>
      </c>
      <c r="Z445" t="s">
        <v>423</v>
      </c>
      <c r="AA445">
        <v>0</v>
      </c>
      <c r="AB445" t="s">
        <v>174</v>
      </c>
      <c r="AC445" t="s">
        <v>41</v>
      </c>
      <c r="AD445" t="s">
        <v>40</v>
      </c>
      <c r="AE445" t="str">
        <f t="shared" si="106"/>
        <v>10</v>
      </c>
      <c r="AF445" t="s">
        <v>40</v>
      </c>
    </row>
    <row r="446" spans="1:32" x14ac:dyDescent="0.25">
      <c r="A446">
        <v>5</v>
      </c>
      <c r="B446">
        <v>240</v>
      </c>
      <c r="C446" t="str">
        <f>"51"</f>
        <v>51</v>
      </c>
      <c r="D446">
        <v>6319</v>
      </c>
      <c r="E446" t="str">
        <f t="shared" si="112"/>
        <v>00</v>
      </c>
      <c r="F446" t="str">
        <f>"999"</f>
        <v>999</v>
      </c>
      <c r="G446">
        <v>5</v>
      </c>
      <c r="H446" t="str">
        <f>"99"</f>
        <v>99</v>
      </c>
      <c r="I446" t="str">
        <f t="shared" si="99"/>
        <v>0</v>
      </c>
      <c r="J446" t="str">
        <f t="shared" si="105"/>
        <v>00</v>
      </c>
      <c r="K446">
        <v>20141030</v>
      </c>
      <c r="L446" t="str">
        <f t="shared" si="113"/>
        <v>014530</v>
      </c>
      <c r="M446" t="str">
        <f t="shared" si="114"/>
        <v>00015</v>
      </c>
      <c r="N446" t="s">
        <v>44</v>
      </c>
      <c r="O446">
        <v>100</v>
      </c>
      <c r="Q446" t="s">
        <v>33</v>
      </c>
      <c r="R446" t="s">
        <v>34</v>
      </c>
      <c r="S446" t="s">
        <v>35</v>
      </c>
      <c r="T446" t="s">
        <v>35</v>
      </c>
      <c r="U446" t="s">
        <v>34</v>
      </c>
      <c r="V446" t="str">
        <f>""</f>
        <v/>
      </c>
      <c r="W446">
        <v>20141024</v>
      </c>
      <c r="X446" t="s">
        <v>350</v>
      </c>
      <c r="Y446" t="s">
        <v>424</v>
      </c>
      <c r="Z446" t="s">
        <v>424</v>
      </c>
      <c r="AA446">
        <v>0</v>
      </c>
      <c r="AB446" t="s">
        <v>238</v>
      </c>
      <c r="AC446" t="s">
        <v>143</v>
      </c>
      <c r="AD446" t="s">
        <v>40</v>
      </c>
      <c r="AE446" t="str">
        <f t="shared" si="106"/>
        <v>10</v>
      </c>
      <c r="AF446" t="s">
        <v>40</v>
      </c>
    </row>
    <row r="447" spans="1:32" x14ac:dyDescent="0.25">
      <c r="A447">
        <v>5</v>
      </c>
      <c r="B447">
        <v>240</v>
      </c>
      <c r="C447" t="str">
        <f>"51"</f>
        <v>51</v>
      </c>
      <c r="D447">
        <v>6319</v>
      </c>
      <c r="E447" t="str">
        <f t="shared" si="112"/>
        <v>00</v>
      </c>
      <c r="F447" t="str">
        <f>"999"</f>
        <v>999</v>
      </c>
      <c r="G447">
        <v>5</v>
      </c>
      <c r="H447" t="str">
        <f>"99"</f>
        <v>99</v>
      </c>
      <c r="I447" t="str">
        <f t="shared" si="99"/>
        <v>0</v>
      </c>
      <c r="J447" t="str">
        <f t="shared" si="105"/>
        <v>00</v>
      </c>
      <c r="K447">
        <v>20141030</v>
      </c>
      <c r="L447" t="str">
        <f t="shared" si="113"/>
        <v>014530</v>
      </c>
      <c r="M447" t="str">
        <f t="shared" si="114"/>
        <v>00015</v>
      </c>
      <c r="N447" t="s">
        <v>44</v>
      </c>
      <c r="O447">
        <v>23.58</v>
      </c>
      <c r="Q447" t="s">
        <v>33</v>
      </c>
      <c r="R447" t="s">
        <v>34</v>
      </c>
      <c r="S447" t="s">
        <v>35</v>
      </c>
      <c r="T447" t="s">
        <v>35</v>
      </c>
      <c r="U447" t="s">
        <v>34</v>
      </c>
      <c r="V447" t="str">
        <f>""</f>
        <v/>
      </c>
      <c r="W447">
        <v>20141024</v>
      </c>
      <c r="X447" t="s">
        <v>350</v>
      </c>
      <c r="Y447" t="s">
        <v>424</v>
      </c>
      <c r="Z447" t="s">
        <v>424</v>
      </c>
      <c r="AA447">
        <v>0</v>
      </c>
      <c r="AB447" t="s">
        <v>238</v>
      </c>
      <c r="AC447" t="s">
        <v>143</v>
      </c>
      <c r="AD447" t="s">
        <v>40</v>
      </c>
      <c r="AE447" t="str">
        <f t="shared" si="106"/>
        <v>10</v>
      </c>
      <c r="AF447" t="s">
        <v>40</v>
      </c>
    </row>
    <row r="448" spans="1:32" x14ac:dyDescent="0.25">
      <c r="A448">
        <v>5</v>
      </c>
      <c r="B448">
        <v>255</v>
      </c>
      <c r="C448" t="str">
        <f t="shared" ref="C448:C460" si="115">"11"</f>
        <v>11</v>
      </c>
      <c r="D448">
        <v>6219</v>
      </c>
      <c r="E448" t="str">
        <f t="shared" si="112"/>
        <v>00</v>
      </c>
      <c r="F448" t="str">
        <f>"999"</f>
        <v>999</v>
      </c>
      <c r="G448">
        <v>5</v>
      </c>
      <c r="H448" t="str">
        <f>"30"</f>
        <v>30</v>
      </c>
      <c r="I448" t="str">
        <f t="shared" si="99"/>
        <v>0</v>
      </c>
      <c r="J448" t="str">
        <f t="shared" si="105"/>
        <v>00</v>
      </c>
      <c r="K448">
        <v>20141030</v>
      </c>
      <c r="L448" t="str">
        <f t="shared" si="113"/>
        <v>014530</v>
      </c>
      <c r="M448" t="str">
        <f t="shared" si="114"/>
        <v>00015</v>
      </c>
      <c r="N448" t="s">
        <v>44</v>
      </c>
      <c r="O448">
        <v>175</v>
      </c>
      <c r="Q448" t="s">
        <v>33</v>
      </c>
      <c r="R448" t="s">
        <v>34</v>
      </c>
      <c r="S448" t="s">
        <v>35</v>
      </c>
      <c r="T448" t="s">
        <v>35</v>
      </c>
      <c r="U448" t="s">
        <v>34</v>
      </c>
      <c r="V448" t="str">
        <f>""</f>
        <v/>
      </c>
      <c r="W448">
        <v>20141024</v>
      </c>
      <c r="X448" t="s">
        <v>177</v>
      </c>
      <c r="Y448" t="s">
        <v>425</v>
      </c>
      <c r="Z448" t="s">
        <v>425</v>
      </c>
      <c r="AA448">
        <v>0</v>
      </c>
      <c r="AB448" t="s">
        <v>178</v>
      </c>
      <c r="AC448" t="s">
        <v>143</v>
      </c>
      <c r="AD448" t="s">
        <v>40</v>
      </c>
      <c r="AE448" t="str">
        <f t="shared" si="106"/>
        <v>10</v>
      </c>
      <c r="AF448" t="s">
        <v>40</v>
      </c>
    </row>
    <row r="449" spans="1:32" x14ac:dyDescent="0.25">
      <c r="A449">
        <v>5</v>
      </c>
      <c r="B449">
        <v>255</v>
      </c>
      <c r="C449" t="str">
        <f t="shared" si="115"/>
        <v>11</v>
      </c>
      <c r="D449">
        <v>6219</v>
      </c>
      <c r="E449" t="str">
        <f t="shared" si="112"/>
        <v>00</v>
      </c>
      <c r="F449" t="str">
        <f>"999"</f>
        <v>999</v>
      </c>
      <c r="G449">
        <v>5</v>
      </c>
      <c r="H449" t="str">
        <f>"30"</f>
        <v>30</v>
      </c>
      <c r="I449" t="str">
        <f t="shared" si="99"/>
        <v>0</v>
      </c>
      <c r="J449" t="str">
        <f t="shared" si="105"/>
        <v>00</v>
      </c>
      <c r="K449">
        <v>20141030</v>
      </c>
      <c r="L449" t="str">
        <f t="shared" si="113"/>
        <v>014530</v>
      </c>
      <c r="M449" t="str">
        <f t="shared" si="114"/>
        <v>00015</v>
      </c>
      <c r="N449" t="s">
        <v>44</v>
      </c>
      <c r="O449">
        <v>345</v>
      </c>
      <c r="Q449" t="s">
        <v>33</v>
      </c>
      <c r="R449" t="s">
        <v>34</v>
      </c>
      <c r="S449" t="s">
        <v>35</v>
      </c>
      <c r="T449" t="s">
        <v>35</v>
      </c>
      <c r="U449" t="s">
        <v>34</v>
      </c>
      <c r="V449" t="str">
        <f>""</f>
        <v/>
      </c>
      <c r="W449">
        <v>20141024</v>
      </c>
      <c r="X449" t="s">
        <v>177</v>
      </c>
      <c r="Y449" t="s">
        <v>425</v>
      </c>
      <c r="Z449" t="s">
        <v>425</v>
      </c>
      <c r="AA449">
        <v>0</v>
      </c>
      <c r="AB449" t="s">
        <v>178</v>
      </c>
      <c r="AC449" t="s">
        <v>143</v>
      </c>
      <c r="AD449" t="s">
        <v>40</v>
      </c>
      <c r="AE449" t="str">
        <f t="shared" ref="AE449:AE480" si="116">"10"</f>
        <v>10</v>
      </c>
      <c r="AF449" t="s">
        <v>40</v>
      </c>
    </row>
    <row r="450" spans="1:32" x14ac:dyDescent="0.25">
      <c r="A450">
        <v>5</v>
      </c>
      <c r="B450">
        <v>420</v>
      </c>
      <c r="C450" t="str">
        <f t="shared" si="115"/>
        <v>11</v>
      </c>
      <c r="D450">
        <v>6315</v>
      </c>
      <c r="E450" t="str">
        <f t="shared" si="112"/>
        <v>00</v>
      </c>
      <c r="F450" t="str">
        <f>"001"</f>
        <v>001</v>
      </c>
      <c r="G450">
        <v>5</v>
      </c>
      <c r="H450" t="str">
        <f t="shared" ref="H450:H460" si="117">"11"</f>
        <v>11</v>
      </c>
      <c r="I450" t="str">
        <f t="shared" ref="I450:I513" si="118">"0"</f>
        <v>0</v>
      </c>
      <c r="J450" t="str">
        <f t="shared" si="105"/>
        <v>00</v>
      </c>
      <c r="K450">
        <v>20141030</v>
      </c>
      <c r="L450" t="str">
        <f t="shared" si="113"/>
        <v>014530</v>
      </c>
      <c r="M450" t="str">
        <f t="shared" si="114"/>
        <v>00015</v>
      </c>
      <c r="N450" t="s">
        <v>44</v>
      </c>
      <c r="O450">
        <v>429.3</v>
      </c>
      <c r="Q450" t="s">
        <v>33</v>
      </c>
      <c r="R450" t="s">
        <v>34</v>
      </c>
      <c r="S450" t="s">
        <v>35</v>
      </c>
      <c r="T450" t="s">
        <v>35</v>
      </c>
      <c r="U450" t="s">
        <v>34</v>
      </c>
      <c r="V450" t="str">
        <f>""</f>
        <v/>
      </c>
      <c r="W450">
        <v>20141024</v>
      </c>
      <c r="X450" t="s">
        <v>426</v>
      </c>
      <c r="Y450" t="s">
        <v>427</v>
      </c>
      <c r="Z450" t="s">
        <v>427</v>
      </c>
      <c r="AA450">
        <v>0</v>
      </c>
      <c r="AB450" t="s">
        <v>142</v>
      </c>
      <c r="AC450" t="s">
        <v>41</v>
      </c>
      <c r="AD450" t="s">
        <v>40</v>
      </c>
      <c r="AE450" t="str">
        <f t="shared" si="116"/>
        <v>10</v>
      </c>
      <c r="AF450" t="s">
        <v>40</v>
      </c>
    </row>
    <row r="451" spans="1:32" x14ac:dyDescent="0.25">
      <c r="A451">
        <v>5</v>
      </c>
      <c r="B451">
        <v>420</v>
      </c>
      <c r="C451" t="str">
        <f t="shared" si="115"/>
        <v>11</v>
      </c>
      <c r="D451">
        <v>6315</v>
      </c>
      <c r="E451" t="str">
        <f t="shared" si="112"/>
        <v>00</v>
      </c>
      <c r="F451" t="str">
        <f>"001"</f>
        <v>001</v>
      </c>
      <c r="G451">
        <v>5</v>
      </c>
      <c r="H451" t="str">
        <f t="shared" si="117"/>
        <v>11</v>
      </c>
      <c r="I451" t="str">
        <f t="shared" si="118"/>
        <v>0</v>
      </c>
      <c r="J451" t="str">
        <f t="shared" si="105"/>
        <v>00</v>
      </c>
      <c r="K451">
        <v>20141030</v>
      </c>
      <c r="L451" t="str">
        <f t="shared" si="113"/>
        <v>014530</v>
      </c>
      <c r="M451" t="str">
        <f t="shared" si="114"/>
        <v>00015</v>
      </c>
      <c r="N451" t="s">
        <v>44</v>
      </c>
      <c r="O451">
        <v>31.31</v>
      </c>
      <c r="Q451" t="s">
        <v>33</v>
      </c>
      <c r="R451" t="s">
        <v>34</v>
      </c>
      <c r="S451" t="s">
        <v>35</v>
      </c>
      <c r="T451" t="s">
        <v>35</v>
      </c>
      <c r="U451" t="s">
        <v>34</v>
      </c>
      <c r="V451" t="str">
        <f>""</f>
        <v/>
      </c>
      <c r="W451">
        <v>20141024</v>
      </c>
      <c r="X451" t="s">
        <v>426</v>
      </c>
      <c r="Y451" t="s">
        <v>427</v>
      </c>
      <c r="Z451" t="s">
        <v>427</v>
      </c>
      <c r="AA451">
        <v>0</v>
      </c>
      <c r="AB451" t="s">
        <v>142</v>
      </c>
      <c r="AC451" t="s">
        <v>41</v>
      </c>
      <c r="AD451" t="s">
        <v>40</v>
      </c>
      <c r="AE451" t="str">
        <f t="shared" si="116"/>
        <v>10</v>
      </c>
      <c r="AF451" t="s">
        <v>40</v>
      </c>
    </row>
    <row r="452" spans="1:32" x14ac:dyDescent="0.25">
      <c r="A452">
        <v>5</v>
      </c>
      <c r="B452">
        <v>420</v>
      </c>
      <c r="C452" t="str">
        <f t="shared" si="115"/>
        <v>11</v>
      </c>
      <c r="D452">
        <v>6315</v>
      </c>
      <c r="E452" t="str">
        <f t="shared" si="112"/>
        <v>00</v>
      </c>
      <c r="F452" t="str">
        <f>"041"</f>
        <v>041</v>
      </c>
      <c r="G452">
        <v>5</v>
      </c>
      <c r="H452" t="str">
        <f t="shared" si="117"/>
        <v>11</v>
      </c>
      <c r="I452" t="str">
        <f t="shared" si="118"/>
        <v>0</v>
      </c>
      <c r="J452" t="str">
        <f t="shared" si="105"/>
        <v>00</v>
      </c>
      <c r="K452">
        <v>20141030</v>
      </c>
      <c r="L452" t="str">
        <f t="shared" si="113"/>
        <v>014530</v>
      </c>
      <c r="M452" t="str">
        <f t="shared" si="114"/>
        <v>00015</v>
      </c>
      <c r="N452" t="s">
        <v>44</v>
      </c>
      <c r="O452">
        <v>429.31</v>
      </c>
      <c r="Q452" t="s">
        <v>33</v>
      </c>
      <c r="R452" t="s">
        <v>34</v>
      </c>
      <c r="S452" t="s">
        <v>35</v>
      </c>
      <c r="T452" t="s">
        <v>35</v>
      </c>
      <c r="U452" t="s">
        <v>34</v>
      </c>
      <c r="V452" t="str">
        <f>""</f>
        <v/>
      </c>
      <c r="W452">
        <v>20141024</v>
      </c>
      <c r="X452" t="s">
        <v>428</v>
      </c>
      <c r="Y452" t="s">
        <v>427</v>
      </c>
      <c r="Z452" t="s">
        <v>427</v>
      </c>
      <c r="AA452">
        <v>0</v>
      </c>
      <c r="AB452" t="s">
        <v>142</v>
      </c>
      <c r="AC452" t="s">
        <v>41</v>
      </c>
      <c r="AD452" t="s">
        <v>40</v>
      </c>
      <c r="AE452" t="str">
        <f t="shared" si="116"/>
        <v>10</v>
      </c>
      <c r="AF452" t="s">
        <v>40</v>
      </c>
    </row>
    <row r="453" spans="1:32" x14ac:dyDescent="0.25">
      <c r="A453">
        <v>5</v>
      </c>
      <c r="B453">
        <v>420</v>
      </c>
      <c r="C453" t="str">
        <f t="shared" si="115"/>
        <v>11</v>
      </c>
      <c r="D453">
        <v>6315</v>
      </c>
      <c r="E453" t="str">
        <f t="shared" si="112"/>
        <v>00</v>
      </c>
      <c r="F453" t="str">
        <f>"041"</f>
        <v>041</v>
      </c>
      <c r="G453">
        <v>5</v>
      </c>
      <c r="H453" t="str">
        <f t="shared" si="117"/>
        <v>11</v>
      </c>
      <c r="I453" t="str">
        <f t="shared" si="118"/>
        <v>0</v>
      </c>
      <c r="J453" t="str">
        <f t="shared" si="105"/>
        <v>00</v>
      </c>
      <c r="K453">
        <v>20141030</v>
      </c>
      <c r="L453" t="str">
        <f t="shared" si="113"/>
        <v>014530</v>
      </c>
      <c r="M453" t="str">
        <f t="shared" si="114"/>
        <v>00015</v>
      </c>
      <c r="N453" t="s">
        <v>44</v>
      </c>
      <c r="O453">
        <v>31.32</v>
      </c>
      <c r="Q453" t="s">
        <v>33</v>
      </c>
      <c r="R453" t="s">
        <v>34</v>
      </c>
      <c r="S453" t="s">
        <v>35</v>
      </c>
      <c r="T453" t="s">
        <v>35</v>
      </c>
      <c r="U453" t="s">
        <v>34</v>
      </c>
      <c r="V453" t="str">
        <f>""</f>
        <v/>
      </c>
      <c r="W453">
        <v>20141024</v>
      </c>
      <c r="X453" t="s">
        <v>428</v>
      </c>
      <c r="Y453" t="s">
        <v>427</v>
      </c>
      <c r="Z453" t="s">
        <v>427</v>
      </c>
      <c r="AA453">
        <v>0</v>
      </c>
      <c r="AB453" t="s">
        <v>142</v>
      </c>
      <c r="AC453" t="s">
        <v>41</v>
      </c>
      <c r="AD453" t="s">
        <v>40</v>
      </c>
      <c r="AE453" t="str">
        <f t="shared" si="116"/>
        <v>10</v>
      </c>
      <c r="AF453" t="s">
        <v>40</v>
      </c>
    </row>
    <row r="454" spans="1:32" x14ac:dyDescent="0.25">
      <c r="A454">
        <v>5</v>
      </c>
      <c r="B454">
        <v>420</v>
      </c>
      <c r="C454" t="str">
        <f t="shared" si="115"/>
        <v>11</v>
      </c>
      <c r="D454">
        <v>6399</v>
      </c>
      <c r="E454" t="str">
        <f t="shared" si="112"/>
        <v>00</v>
      </c>
      <c r="F454" t="str">
        <f>"101"</f>
        <v>101</v>
      </c>
      <c r="G454">
        <v>5</v>
      </c>
      <c r="H454" t="str">
        <f t="shared" si="117"/>
        <v>11</v>
      </c>
      <c r="I454" t="str">
        <f t="shared" si="118"/>
        <v>0</v>
      </c>
      <c r="J454" t="str">
        <f t="shared" si="105"/>
        <v>00</v>
      </c>
      <c r="K454">
        <v>20141030</v>
      </c>
      <c r="L454" t="str">
        <f t="shared" si="113"/>
        <v>014530</v>
      </c>
      <c r="M454" t="str">
        <f t="shared" si="114"/>
        <v>00015</v>
      </c>
      <c r="N454" t="s">
        <v>44</v>
      </c>
      <c r="O454">
        <v>8.15</v>
      </c>
      <c r="Q454" t="s">
        <v>33</v>
      </c>
      <c r="R454" t="s">
        <v>34</v>
      </c>
      <c r="S454" t="s">
        <v>35</v>
      </c>
      <c r="T454" t="s">
        <v>35</v>
      </c>
      <c r="U454" t="s">
        <v>34</v>
      </c>
      <c r="V454" t="str">
        <f>""</f>
        <v/>
      </c>
      <c r="W454">
        <v>20141024</v>
      </c>
      <c r="X454" t="s">
        <v>246</v>
      </c>
      <c r="Y454" t="s">
        <v>429</v>
      </c>
      <c r="Z454" t="s">
        <v>429</v>
      </c>
      <c r="AA454">
        <v>0</v>
      </c>
      <c r="AB454" t="s">
        <v>142</v>
      </c>
      <c r="AC454" t="s">
        <v>41</v>
      </c>
      <c r="AD454" t="s">
        <v>40</v>
      </c>
      <c r="AE454" t="str">
        <f t="shared" si="116"/>
        <v>10</v>
      </c>
      <c r="AF454" t="s">
        <v>40</v>
      </c>
    </row>
    <row r="455" spans="1:32" x14ac:dyDescent="0.25">
      <c r="A455">
        <v>5</v>
      </c>
      <c r="B455">
        <v>420</v>
      </c>
      <c r="C455" t="str">
        <f t="shared" si="115"/>
        <v>11</v>
      </c>
      <c r="D455">
        <v>6399</v>
      </c>
      <c r="E455" t="str">
        <f t="shared" si="112"/>
        <v>00</v>
      </c>
      <c r="F455" t="str">
        <f>"101"</f>
        <v>101</v>
      </c>
      <c r="G455">
        <v>5</v>
      </c>
      <c r="H455" t="str">
        <f t="shared" si="117"/>
        <v>11</v>
      </c>
      <c r="I455" t="str">
        <f t="shared" si="118"/>
        <v>0</v>
      </c>
      <c r="J455" t="str">
        <f t="shared" si="105"/>
        <v>00</v>
      </c>
      <c r="K455">
        <v>20141030</v>
      </c>
      <c r="L455" t="str">
        <f t="shared" si="113"/>
        <v>014530</v>
      </c>
      <c r="M455" t="str">
        <f t="shared" si="114"/>
        <v>00015</v>
      </c>
      <c r="N455" t="s">
        <v>44</v>
      </c>
      <c r="O455">
        <v>69.8</v>
      </c>
      <c r="Q455" t="s">
        <v>33</v>
      </c>
      <c r="R455" t="s">
        <v>34</v>
      </c>
      <c r="S455" t="s">
        <v>35</v>
      </c>
      <c r="T455" t="s">
        <v>35</v>
      </c>
      <c r="U455" t="s">
        <v>34</v>
      </c>
      <c r="V455" t="str">
        <f>""</f>
        <v/>
      </c>
      <c r="W455">
        <v>20141024</v>
      </c>
      <c r="X455" t="s">
        <v>246</v>
      </c>
      <c r="Y455" t="s">
        <v>430</v>
      </c>
      <c r="Z455" t="s">
        <v>430</v>
      </c>
      <c r="AA455">
        <v>0</v>
      </c>
      <c r="AB455" t="s">
        <v>142</v>
      </c>
      <c r="AC455" t="s">
        <v>41</v>
      </c>
      <c r="AD455" t="s">
        <v>40</v>
      </c>
      <c r="AE455" t="str">
        <f t="shared" si="116"/>
        <v>10</v>
      </c>
      <c r="AF455" t="s">
        <v>40</v>
      </c>
    </row>
    <row r="456" spans="1:32" x14ac:dyDescent="0.25">
      <c r="A456">
        <v>5</v>
      </c>
      <c r="B456">
        <v>420</v>
      </c>
      <c r="C456" t="str">
        <f t="shared" si="115"/>
        <v>11</v>
      </c>
      <c r="D456">
        <v>6399</v>
      </c>
      <c r="E456" t="str">
        <f t="shared" si="112"/>
        <v>00</v>
      </c>
      <c r="F456" t="str">
        <f>"101"</f>
        <v>101</v>
      </c>
      <c r="G456">
        <v>5</v>
      </c>
      <c r="H456" t="str">
        <f t="shared" si="117"/>
        <v>11</v>
      </c>
      <c r="I456" t="str">
        <f t="shared" si="118"/>
        <v>0</v>
      </c>
      <c r="J456" t="str">
        <f t="shared" si="105"/>
        <v>00</v>
      </c>
      <c r="K456">
        <v>20141030</v>
      </c>
      <c r="L456" t="str">
        <f t="shared" si="113"/>
        <v>014530</v>
      </c>
      <c r="M456" t="str">
        <f t="shared" si="114"/>
        <v>00015</v>
      </c>
      <c r="N456" t="s">
        <v>44</v>
      </c>
      <c r="O456">
        <v>128.91</v>
      </c>
      <c r="Q456" t="s">
        <v>33</v>
      </c>
      <c r="R456" t="s">
        <v>34</v>
      </c>
      <c r="S456" t="s">
        <v>35</v>
      </c>
      <c r="T456" t="s">
        <v>35</v>
      </c>
      <c r="U456" t="s">
        <v>34</v>
      </c>
      <c r="V456" t="str">
        <f>""</f>
        <v/>
      </c>
      <c r="W456">
        <v>20141024</v>
      </c>
      <c r="X456" t="s">
        <v>246</v>
      </c>
      <c r="Y456" t="s">
        <v>431</v>
      </c>
      <c r="Z456" t="s">
        <v>431</v>
      </c>
      <c r="AA456">
        <v>0</v>
      </c>
      <c r="AB456" t="s">
        <v>142</v>
      </c>
      <c r="AC456" t="s">
        <v>41</v>
      </c>
      <c r="AD456" t="s">
        <v>40</v>
      </c>
      <c r="AE456" t="str">
        <f t="shared" si="116"/>
        <v>10</v>
      </c>
      <c r="AF456" t="s">
        <v>40</v>
      </c>
    </row>
    <row r="457" spans="1:32" x14ac:dyDescent="0.25">
      <c r="A457">
        <v>5</v>
      </c>
      <c r="B457">
        <v>420</v>
      </c>
      <c r="C457" t="str">
        <f t="shared" si="115"/>
        <v>11</v>
      </c>
      <c r="D457">
        <v>6399</v>
      </c>
      <c r="E457" t="str">
        <f t="shared" si="112"/>
        <v>00</v>
      </c>
      <c r="F457" t="str">
        <f t="shared" ref="F457:F470" si="119">"999"</f>
        <v>999</v>
      </c>
      <c r="G457">
        <v>5</v>
      </c>
      <c r="H457" t="str">
        <f t="shared" si="117"/>
        <v>11</v>
      </c>
      <c r="I457" t="str">
        <f t="shared" si="118"/>
        <v>0</v>
      </c>
      <c r="J457" t="str">
        <f t="shared" si="105"/>
        <v>00</v>
      </c>
      <c r="K457">
        <v>20141030</v>
      </c>
      <c r="L457" t="str">
        <f t="shared" si="113"/>
        <v>014530</v>
      </c>
      <c r="M457" t="str">
        <f t="shared" si="114"/>
        <v>00015</v>
      </c>
      <c r="N457" t="s">
        <v>44</v>
      </c>
      <c r="O457">
        <v>65.150000000000006</v>
      </c>
      <c r="Q457" t="s">
        <v>33</v>
      </c>
      <c r="R457" t="s">
        <v>34</v>
      </c>
      <c r="S457" t="s">
        <v>35</v>
      </c>
      <c r="T457" t="s">
        <v>35</v>
      </c>
      <c r="U457" t="s">
        <v>34</v>
      </c>
      <c r="V457" t="str">
        <f>""</f>
        <v/>
      </c>
      <c r="W457">
        <v>20141024</v>
      </c>
      <c r="X457" t="s">
        <v>385</v>
      </c>
      <c r="Y457" t="s">
        <v>432</v>
      </c>
      <c r="Z457" t="s">
        <v>432</v>
      </c>
      <c r="AA457">
        <v>0</v>
      </c>
      <c r="AB457" t="s">
        <v>142</v>
      </c>
      <c r="AC457" t="s">
        <v>143</v>
      </c>
      <c r="AD457" t="s">
        <v>40</v>
      </c>
      <c r="AE457" t="str">
        <f t="shared" si="116"/>
        <v>10</v>
      </c>
      <c r="AF457" t="s">
        <v>40</v>
      </c>
    </row>
    <row r="458" spans="1:32" x14ac:dyDescent="0.25">
      <c r="A458">
        <v>5</v>
      </c>
      <c r="B458">
        <v>420</v>
      </c>
      <c r="C458" t="str">
        <f t="shared" si="115"/>
        <v>11</v>
      </c>
      <c r="D458">
        <v>6411</v>
      </c>
      <c r="E458" t="str">
        <f t="shared" si="112"/>
        <v>00</v>
      </c>
      <c r="F458" t="str">
        <f t="shared" si="119"/>
        <v>999</v>
      </c>
      <c r="G458">
        <v>5</v>
      </c>
      <c r="H458" t="str">
        <f t="shared" si="117"/>
        <v>11</v>
      </c>
      <c r="I458" t="str">
        <f t="shared" si="118"/>
        <v>0</v>
      </c>
      <c r="J458" t="str">
        <f t="shared" si="105"/>
        <v>00</v>
      </c>
      <c r="K458">
        <v>20141030</v>
      </c>
      <c r="L458" t="str">
        <f t="shared" si="113"/>
        <v>014530</v>
      </c>
      <c r="M458" t="str">
        <f t="shared" si="114"/>
        <v>00015</v>
      </c>
      <c r="N458" t="s">
        <v>44</v>
      </c>
      <c r="O458">
        <v>242.04</v>
      </c>
      <c r="Q458" t="s">
        <v>33</v>
      </c>
      <c r="R458" t="s">
        <v>34</v>
      </c>
      <c r="S458" t="s">
        <v>35</v>
      </c>
      <c r="T458" t="s">
        <v>35</v>
      </c>
      <c r="U458" t="s">
        <v>34</v>
      </c>
      <c r="V458" t="str">
        <f>""</f>
        <v/>
      </c>
      <c r="W458">
        <v>20141024</v>
      </c>
      <c r="X458" t="s">
        <v>328</v>
      </c>
      <c r="Y458" t="s">
        <v>327</v>
      </c>
      <c r="Z458" t="s">
        <v>327</v>
      </c>
      <c r="AA458">
        <v>0</v>
      </c>
      <c r="AB458" t="s">
        <v>142</v>
      </c>
      <c r="AC458" t="s">
        <v>143</v>
      </c>
      <c r="AD458" t="s">
        <v>40</v>
      </c>
      <c r="AE458" t="str">
        <f t="shared" si="116"/>
        <v>10</v>
      </c>
      <c r="AF458" t="s">
        <v>40</v>
      </c>
    </row>
    <row r="459" spans="1:32" x14ac:dyDescent="0.25">
      <c r="A459">
        <v>5</v>
      </c>
      <c r="B459">
        <v>420</v>
      </c>
      <c r="C459" t="str">
        <f t="shared" si="115"/>
        <v>11</v>
      </c>
      <c r="D459">
        <v>6411</v>
      </c>
      <c r="E459" t="str">
        <f t="shared" si="112"/>
        <v>00</v>
      </c>
      <c r="F459" t="str">
        <f t="shared" si="119"/>
        <v>999</v>
      </c>
      <c r="G459">
        <v>5</v>
      </c>
      <c r="H459" t="str">
        <f t="shared" si="117"/>
        <v>11</v>
      </c>
      <c r="I459" t="str">
        <f t="shared" si="118"/>
        <v>0</v>
      </c>
      <c r="J459" t="str">
        <f t="shared" si="105"/>
        <v>00</v>
      </c>
      <c r="K459">
        <v>20141030</v>
      </c>
      <c r="L459" t="str">
        <f t="shared" si="113"/>
        <v>014530</v>
      </c>
      <c r="M459" t="str">
        <f t="shared" si="114"/>
        <v>00015</v>
      </c>
      <c r="N459" t="s">
        <v>44</v>
      </c>
      <c r="O459">
        <v>121.02</v>
      </c>
      <c r="Q459" t="s">
        <v>33</v>
      </c>
      <c r="R459" t="s">
        <v>34</v>
      </c>
      <c r="S459" t="s">
        <v>35</v>
      </c>
      <c r="T459" t="s">
        <v>35</v>
      </c>
      <c r="U459" t="s">
        <v>34</v>
      </c>
      <c r="V459" t="str">
        <f>""</f>
        <v/>
      </c>
      <c r="W459">
        <v>20141024</v>
      </c>
      <c r="X459" t="s">
        <v>328</v>
      </c>
      <c r="Y459" t="s">
        <v>327</v>
      </c>
      <c r="Z459" t="s">
        <v>327</v>
      </c>
      <c r="AA459">
        <v>0</v>
      </c>
      <c r="AB459" t="s">
        <v>142</v>
      </c>
      <c r="AC459" t="s">
        <v>143</v>
      </c>
      <c r="AD459" t="s">
        <v>40</v>
      </c>
      <c r="AE459" t="str">
        <f t="shared" si="116"/>
        <v>10</v>
      </c>
      <c r="AF459" t="s">
        <v>40</v>
      </c>
    </row>
    <row r="460" spans="1:32" x14ac:dyDescent="0.25">
      <c r="A460">
        <v>5</v>
      </c>
      <c r="B460">
        <v>420</v>
      </c>
      <c r="C460" t="str">
        <f t="shared" si="115"/>
        <v>11</v>
      </c>
      <c r="D460">
        <v>6411</v>
      </c>
      <c r="E460" t="str">
        <f t="shared" si="112"/>
        <v>00</v>
      </c>
      <c r="F460" t="str">
        <f t="shared" si="119"/>
        <v>999</v>
      </c>
      <c r="G460">
        <v>5</v>
      </c>
      <c r="H460" t="str">
        <f t="shared" si="117"/>
        <v>11</v>
      </c>
      <c r="I460" t="str">
        <f t="shared" si="118"/>
        <v>0</v>
      </c>
      <c r="J460" t="str">
        <f t="shared" si="105"/>
        <v>00</v>
      </c>
      <c r="K460">
        <v>20141030</v>
      </c>
      <c r="L460" t="str">
        <f t="shared" si="113"/>
        <v>014530</v>
      </c>
      <c r="M460" t="str">
        <f t="shared" si="114"/>
        <v>00015</v>
      </c>
      <c r="N460" t="s">
        <v>44</v>
      </c>
      <c r="O460">
        <v>176.88</v>
      </c>
      <c r="Q460" t="s">
        <v>33</v>
      </c>
      <c r="R460" t="s">
        <v>34</v>
      </c>
      <c r="S460" t="s">
        <v>35</v>
      </c>
      <c r="T460" t="s">
        <v>35</v>
      </c>
      <c r="U460" t="s">
        <v>34</v>
      </c>
      <c r="V460" t="str">
        <f>""</f>
        <v/>
      </c>
      <c r="W460">
        <v>20141024</v>
      </c>
      <c r="X460" t="s">
        <v>328</v>
      </c>
      <c r="Y460" t="s">
        <v>425</v>
      </c>
      <c r="Z460" t="s">
        <v>425</v>
      </c>
      <c r="AA460">
        <v>0</v>
      </c>
      <c r="AB460" t="s">
        <v>142</v>
      </c>
      <c r="AC460" t="s">
        <v>143</v>
      </c>
      <c r="AD460" t="s">
        <v>40</v>
      </c>
      <c r="AE460" t="str">
        <f t="shared" si="116"/>
        <v>10</v>
      </c>
      <c r="AF460" t="s">
        <v>40</v>
      </c>
    </row>
    <row r="461" spans="1:32" x14ac:dyDescent="0.25">
      <c r="A461">
        <v>5</v>
      </c>
      <c r="B461">
        <v>420</v>
      </c>
      <c r="C461" t="str">
        <f>"51"</f>
        <v>51</v>
      </c>
      <c r="D461">
        <v>6269</v>
      </c>
      <c r="E461" t="str">
        <f t="shared" si="112"/>
        <v>00</v>
      </c>
      <c r="F461" t="str">
        <f t="shared" si="119"/>
        <v>999</v>
      </c>
      <c r="G461">
        <v>5</v>
      </c>
      <c r="H461" t="str">
        <f t="shared" ref="H461:H470" si="120">"99"</f>
        <v>99</v>
      </c>
      <c r="I461" t="str">
        <f t="shared" si="118"/>
        <v>0</v>
      </c>
      <c r="J461" t="str">
        <f t="shared" si="105"/>
        <v>00</v>
      </c>
      <c r="K461">
        <v>20141030</v>
      </c>
      <c r="L461" t="str">
        <f t="shared" si="113"/>
        <v>014530</v>
      </c>
      <c r="M461" t="str">
        <f t="shared" si="114"/>
        <v>00015</v>
      </c>
      <c r="N461" t="s">
        <v>44</v>
      </c>
      <c r="O461">
        <v>99</v>
      </c>
      <c r="Q461" t="s">
        <v>33</v>
      </c>
      <c r="R461" t="s">
        <v>34</v>
      </c>
      <c r="S461" t="s">
        <v>35</v>
      </c>
      <c r="T461" t="s">
        <v>35</v>
      </c>
      <c r="U461" t="s">
        <v>34</v>
      </c>
      <c r="V461" t="str">
        <f>""</f>
        <v/>
      </c>
      <c r="W461">
        <v>20141024</v>
      </c>
      <c r="X461" t="s">
        <v>225</v>
      </c>
      <c r="Y461" t="s">
        <v>306</v>
      </c>
      <c r="Z461" t="s">
        <v>306</v>
      </c>
      <c r="AA461">
        <v>0</v>
      </c>
      <c r="AB461" t="s">
        <v>142</v>
      </c>
      <c r="AC461" t="s">
        <v>143</v>
      </c>
      <c r="AD461" t="s">
        <v>40</v>
      </c>
      <c r="AE461" t="str">
        <f t="shared" si="116"/>
        <v>10</v>
      </c>
      <c r="AF461" t="s">
        <v>40</v>
      </c>
    </row>
    <row r="462" spans="1:32" x14ac:dyDescent="0.25">
      <c r="A462">
        <v>5</v>
      </c>
      <c r="B462">
        <v>420</v>
      </c>
      <c r="C462" t="str">
        <f>"51"</f>
        <v>51</v>
      </c>
      <c r="D462">
        <v>6319</v>
      </c>
      <c r="E462" t="str">
        <f t="shared" si="112"/>
        <v>00</v>
      </c>
      <c r="F462" t="str">
        <f t="shared" si="119"/>
        <v>999</v>
      </c>
      <c r="G462">
        <v>5</v>
      </c>
      <c r="H462" t="str">
        <f t="shared" si="120"/>
        <v>99</v>
      </c>
      <c r="I462" t="str">
        <f t="shared" si="118"/>
        <v>0</v>
      </c>
      <c r="J462" t="str">
        <f t="shared" si="105"/>
        <v>00</v>
      </c>
      <c r="K462">
        <v>20141030</v>
      </c>
      <c r="L462" t="str">
        <f t="shared" si="113"/>
        <v>014530</v>
      </c>
      <c r="M462" t="str">
        <f t="shared" si="114"/>
        <v>00015</v>
      </c>
      <c r="N462" t="s">
        <v>44</v>
      </c>
      <c r="O462">
        <v>89.9</v>
      </c>
      <c r="Q462" t="s">
        <v>33</v>
      </c>
      <c r="R462" t="s">
        <v>34</v>
      </c>
      <c r="S462" t="s">
        <v>35</v>
      </c>
      <c r="T462" t="s">
        <v>35</v>
      </c>
      <c r="U462" t="s">
        <v>34</v>
      </c>
      <c r="V462" t="str">
        <f>""</f>
        <v/>
      </c>
      <c r="W462">
        <v>20141024</v>
      </c>
      <c r="X462" t="s">
        <v>185</v>
      </c>
      <c r="Y462" t="s">
        <v>433</v>
      </c>
      <c r="Z462" t="s">
        <v>433</v>
      </c>
      <c r="AA462">
        <v>0</v>
      </c>
      <c r="AB462" t="s">
        <v>142</v>
      </c>
      <c r="AC462" t="s">
        <v>143</v>
      </c>
      <c r="AD462" t="s">
        <v>40</v>
      </c>
      <c r="AE462" t="str">
        <f t="shared" si="116"/>
        <v>10</v>
      </c>
      <c r="AF462" t="s">
        <v>40</v>
      </c>
    </row>
    <row r="463" spans="1:32" x14ac:dyDescent="0.25">
      <c r="A463">
        <v>5</v>
      </c>
      <c r="B463">
        <v>420</v>
      </c>
      <c r="C463" t="str">
        <f>"51"</f>
        <v>51</v>
      </c>
      <c r="D463">
        <v>6319</v>
      </c>
      <c r="E463" t="str">
        <f t="shared" si="112"/>
        <v>00</v>
      </c>
      <c r="F463" t="str">
        <f t="shared" si="119"/>
        <v>999</v>
      </c>
      <c r="G463">
        <v>5</v>
      </c>
      <c r="H463" t="str">
        <f t="shared" si="120"/>
        <v>99</v>
      </c>
      <c r="I463" t="str">
        <f t="shared" si="118"/>
        <v>0</v>
      </c>
      <c r="J463" t="str">
        <f t="shared" si="105"/>
        <v>00</v>
      </c>
      <c r="K463">
        <v>20141030</v>
      </c>
      <c r="L463" t="str">
        <f t="shared" si="113"/>
        <v>014530</v>
      </c>
      <c r="M463" t="str">
        <f t="shared" si="114"/>
        <v>00015</v>
      </c>
      <c r="N463" t="s">
        <v>44</v>
      </c>
      <c r="O463">
        <v>110.82</v>
      </c>
      <c r="Q463" t="s">
        <v>33</v>
      </c>
      <c r="R463" t="s">
        <v>34</v>
      </c>
      <c r="S463" t="s">
        <v>35</v>
      </c>
      <c r="T463" t="s">
        <v>35</v>
      </c>
      <c r="U463" t="s">
        <v>34</v>
      </c>
      <c r="V463" t="str">
        <f>""</f>
        <v/>
      </c>
      <c r="W463">
        <v>20141024</v>
      </c>
      <c r="X463" t="s">
        <v>185</v>
      </c>
      <c r="Y463" t="s">
        <v>433</v>
      </c>
      <c r="Z463" t="s">
        <v>433</v>
      </c>
      <c r="AA463">
        <v>0</v>
      </c>
      <c r="AB463" t="s">
        <v>142</v>
      </c>
      <c r="AC463" t="s">
        <v>143</v>
      </c>
      <c r="AD463" t="s">
        <v>40</v>
      </c>
      <c r="AE463" t="str">
        <f t="shared" si="116"/>
        <v>10</v>
      </c>
      <c r="AF463" t="s">
        <v>40</v>
      </c>
    </row>
    <row r="464" spans="1:32" x14ac:dyDescent="0.25">
      <c r="A464">
        <v>5</v>
      </c>
      <c r="B464">
        <v>420</v>
      </c>
      <c r="C464" t="str">
        <f>"51"</f>
        <v>51</v>
      </c>
      <c r="D464">
        <v>6319</v>
      </c>
      <c r="E464" t="str">
        <f t="shared" si="112"/>
        <v>00</v>
      </c>
      <c r="F464" t="str">
        <f t="shared" si="119"/>
        <v>999</v>
      </c>
      <c r="G464">
        <v>5</v>
      </c>
      <c r="H464" t="str">
        <f t="shared" si="120"/>
        <v>99</v>
      </c>
      <c r="I464" t="str">
        <f t="shared" si="118"/>
        <v>0</v>
      </c>
      <c r="J464" t="str">
        <f t="shared" si="105"/>
        <v>00</v>
      </c>
      <c r="K464">
        <v>20141030</v>
      </c>
      <c r="L464" t="str">
        <f t="shared" si="113"/>
        <v>014530</v>
      </c>
      <c r="M464" t="str">
        <f t="shared" si="114"/>
        <v>00015</v>
      </c>
      <c r="N464" t="s">
        <v>44</v>
      </c>
      <c r="O464">
        <v>341.65</v>
      </c>
      <c r="Q464" t="s">
        <v>33</v>
      </c>
      <c r="R464" t="s">
        <v>34</v>
      </c>
      <c r="S464" t="s">
        <v>35</v>
      </c>
      <c r="T464" t="s">
        <v>35</v>
      </c>
      <c r="U464" t="s">
        <v>34</v>
      </c>
      <c r="V464" t="str">
        <f>""</f>
        <v/>
      </c>
      <c r="W464">
        <v>20141024</v>
      </c>
      <c r="X464" t="s">
        <v>185</v>
      </c>
      <c r="Y464" t="s">
        <v>434</v>
      </c>
      <c r="Z464" t="s">
        <v>434</v>
      </c>
      <c r="AA464">
        <v>0</v>
      </c>
      <c r="AB464" t="s">
        <v>142</v>
      </c>
      <c r="AC464" t="s">
        <v>143</v>
      </c>
      <c r="AD464" t="s">
        <v>40</v>
      </c>
      <c r="AE464" t="str">
        <f t="shared" si="116"/>
        <v>10</v>
      </c>
      <c r="AF464" t="s">
        <v>40</v>
      </c>
    </row>
    <row r="465" spans="1:32" x14ac:dyDescent="0.25">
      <c r="A465">
        <v>5</v>
      </c>
      <c r="B465">
        <v>420</v>
      </c>
      <c r="C465" t="str">
        <f>"51"</f>
        <v>51</v>
      </c>
      <c r="D465">
        <v>6319</v>
      </c>
      <c r="E465" t="str">
        <f t="shared" si="112"/>
        <v>00</v>
      </c>
      <c r="F465" t="str">
        <f t="shared" si="119"/>
        <v>999</v>
      </c>
      <c r="G465">
        <v>5</v>
      </c>
      <c r="H465" t="str">
        <f t="shared" si="120"/>
        <v>99</v>
      </c>
      <c r="I465" t="str">
        <f t="shared" si="118"/>
        <v>0</v>
      </c>
      <c r="J465" t="str">
        <f t="shared" si="105"/>
        <v>00</v>
      </c>
      <c r="K465">
        <v>20141030</v>
      </c>
      <c r="L465" t="str">
        <f t="shared" si="113"/>
        <v>014530</v>
      </c>
      <c r="M465" t="str">
        <f t="shared" si="114"/>
        <v>00015</v>
      </c>
      <c r="N465" t="s">
        <v>44</v>
      </c>
      <c r="O465">
        <v>61.76</v>
      </c>
      <c r="Q465" t="s">
        <v>33</v>
      </c>
      <c r="R465" t="s">
        <v>34</v>
      </c>
      <c r="S465" t="s">
        <v>35</v>
      </c>
      <c r="T465" t="s">
        <v>35</v>
      </c>
      <c r="U465" t="s">
        <v>34</v>
      </c>
      <c r="V465" t="str">
        <f>""</f>
        <v/>
      </c>
      <c r="W465">
        <v>20141024</v>
      </c>
      <c r="X465" t="s">
        <v>185</v>
      </c>
      <c r="Y465" t="s">
        <v>435</v>
      </c>
      <c r="Z465" t="s">
        <v>435</v>
      </c>
      <c r="AA465">
        <v>0</v>
      </c>
      <c r="AB465" t="s">
        <v>142</v>
      </c>
      <c r="AC465" t="s">
        <v>143</v>
      </c>
      <c r="AD465" t="s">
        <v>40</v>
      </c>
      <c r="AE465" t="str">
        <f t="shared" si="116"/>
        <v>10</v>
      </c>
      <c r="AF465" t="s">
        <v>40</v>
      </c>
    </row>
    <row r="466" spans="1:32" x14ac:dyDescent="0.25">
      <c r="A466">
        <v>5</v>
      </c>
      <c r="B466">
        <v>420</v>
      </c>
      <c r="C466" t="str">
        <f>"52"</f>
        <v>52</v>
      </c>
      <c r="D466">
        <v>6399</v>
      </c>
      <c r="E466" t="str">
        <f t="shared" si="112"/>
        <v>00</v>
      </c>
      <c r="F466" t="str">
        <f t="shared" si="119"/>
        <v>999</v>
      </c>
      <c r="G466">
        <v>5</v>
      </c>
      <c r="H466" t="str">
        <f t="shared" si="120"/>
        <v>99</v>
      </c>
      <c r="I466" t="str">
        <f t="shared" si="118"/>
        <v>0</v>
      </c>
      <c r="J466" t="str">
        <f t="shared" si="105"/>
        <v>00</v>
      </c>
      <c r="K466">
        <v>20141030</v>
      </c>
      <c r="L466" t="str">
        <f t="shared" si="113"/>
        <v>014530</v>
      </c>
      <c r="M466" t="str">
        <f t="shared" si="114"/>
        <v>00015</v>
      </c>
      <c r="N466" t="s">
        <v>44</v>
      </c>
      <c r="O466">
        <v>92.12</v>
      </c>
      <c r="Q466" t="s">
        <v>33</v>
      </c>
      <c r="R466" t="s">
        <v>34</v>
      </c>
      <c r="S466" t="s">
        <v>35</v>
      </c>
      <c r="T466" t="s">
        <v>35</v>
      </c>
      <c r="U466" t="s">
        <v>34</v>
      </c>
      <c r="V466" t="str">
        <f>""</f>
        <v/>
      </c>
      <c r="W466">
        <v>20141024</v>
      </c>
      <c r="X466" t="s">
        <v>436</v>
      </c>
      <c r="Y466" t="s">
        <v>437</v>
      </c>
      <c r="Z466" t="s">
        <v>437</v>
      </c>
      <c r="AA466">
        <v>0</v>
      </c>
      <c r="AB466" t="s">
        <v>142</v>
      </c>
      <c r="AC466" t="s">
        <v>143</v>
      </c>
      <c r="AD466" t="s">
        <v>40</v>
      </c>
      <c r="AE466" t="str">
        <f t="shared" si="116"/>
        <v>10</v>
      </c>
      <c r="AF466" t="s">
        <v>40</v>
      </c>
    </row>
    <row r="467" spans="1:32" x14ac:dyDescent="0.25">
      <c r="A467">
        <v>5</v>
      </c>
      <c r="B467">
        <v>420</v>
      </c>
      <c r="C467" t="str">
        <f>"52"</f>
        <v>52</v>
      </c>
      <c r="D467">
        <v>6399</v>
      </c>
      <c r="E467" t="str">
        <f t="shared" si="112"/>
        <v>00</v>
      </c>
      <c r="F467" t="str">
        <f t="shared" si="119"/>
        <v>999</v>
      </c>
      <c r="G467">
        <v>5</v>
      </c>
      <c r="H467" t="str">
        <f t="shared" si="120"/>
        <v>99</v>
      </c>
      <c r="I467" t="str">
        <f t="shared" si="118"/>
        <v>0</v>
      </c>
      <c r="J467" t="str">
        <f t="shared" si="105"/>
        <v>00</v>
      </c>
      <c r="K467">
        <v>20141030</v>
      </c>
      <c r="L467" t="str">
        <f t="shared" si="113"/>
        <v>014530</v>
      </c>
      <c r="M467" t="str">
        <f t="shared" si="114"/>
        <v>00015</v>
      </c>
      <c r="N467" t="s">
        <v>44</v>
      </c>
      <c r="O467">
        <v>175.96</v>
      </c>
      <c r="Q467" t="s">
        <v>33</v>
      </c>
      <c r="R467" t="s">
        <v>34</v>
      </c>
      <c r="S467" t="s">
        <v>35</v>
      </c>
      <c r="T467" t="s">
        <v>35</v>
      </c>
      <c r="U467" t="s">
        <v>34</v>
      </c>
      <c r="V467" t="str">
        <f>""</f>
        <v/>
      </c>
      <c r="W467">
        <v>20141024</v>
      </c>
      <c r="X467" t="s">
        <v>436</v>
      </c>
      <c r="Y467" t="s">
        <v>438</v>
      </c>
      <c r="Z467" t="s">
        <v>438</v>
      </c>
      <c r="AA467">
        <v>0</v>
      </c>
      <c r="AB467" t="s">
        <v>142</v>
      </c>
      <c r="AC467" t="s">
        <v>143</v>
      </c>
      <c r="AD467" t="s">
        <v>40</v>
      </c>
      <c r="AE467" t="str">
        <f t="shared" si="116"/>
        <v>10</v>
      </c>
      <c r="AF467" t="s">
        <v>40</v>
      </c>
    </row>
    <row r="468" spans="1:32" x14ac:dyDescent="0.25">
      <c r="A468">
        <v>5</v>
      </c>
      <c r="B468">
        <v>420</v>
      </c>
      <c r="C468" t="str">
        <f>"53"</f>
        <v>53</v>
      </c>
      <c r="D468">
        <v>6395</v>
      </c>
      <c r="E468" t="str">
        <f t="shared" si="112"/>
        <v>00</v>
      </c>
      <c r="F468" t="str">
        <f t="shared" si="119"/>
        <v>999</v>
      </c>
      <c r="G468">
        <v>5</v>
      </c>
      <c r="H468" t="str">
        <f t="shared" si="120"/>
        <v>99</v>
      </c>
      <c r="I468" t="str">
        <f t="shared" si="118"/>
        <v>0</v>
      </c>
      <c r="J468" t="str">
        <f t="shared" si="105"/>
        <v>00</v>
      </c>
      <c r="K468">
        <v>20141030</v>
      </c>
      <c r="L468" t="str">
        <f t="shared" si="113"/>
        <v>014530</v>
      </c>
      <c r="M468" t="str">
        <f t="shared" si="114"/>
        <v>00015</v>
      </c>
      <c r="N468" t="s">
        <v>44</v>
      </c>
      <c r="O468" s="1">
        <v>1695.01</v>
      </c>
      <c r="Q468" t="s">
        <v>33</v>
      </c>
      <c r="R468" t="s">
        <v>34</v>
      </c>
      <c r="S468" t="s">
        <v>35</v>
      </c>
      <c r="T468" t="s">
        <v>35</v>
      </c>
      <c r="U468" t="s">
        <v>34</v>
      </c>
      <c r="V468" t="str">
        <f>""</f>
        <v/>
      </c>
      <c r="W468">
        <v>20141024</v>
      </c>
      <c r="X468" t="s">
        <v>439</v>
      </c>
      <c r="Y468" t="s">
        <v>440</v>
      </c>
      <c r="Z468" t="s">
        <v>440</v>
      </c>
      <c r="AA468">
        <v>0</v>
      </c>
      <c r="AB468" t="s">
        <v>142</v>
      </c>
      <c r="AC468" t="s">
        <v>143</v>
      </c>
      <c r="AD468" t="s">
        <v>40</v>
      </c>
      <c r="AE468" t="str">
        <f t="shared" si="116"/>
        <v>10</v>
      </c>
      <c r="AF468" t="s">
        <v>40</v>
      </c>
    </row>
    <row r="469" spans="1:32" x14ac:dyDescent="0.25">
      <c r="A469">
        <v>5</v>
      </c>
      <c r="B469">
        <v>420</v>
      </c>
      <c r="C469" t="str">
        <f>"51"</f>
        <v>51</v>
      </c>
      <c r="D469">
        <v>6259</v>
      </c>
      <c r="E469" t="str">
        <f>"54"</f>
        <v>54</v>
      </c>
      <c r="F469" t="str">
        <f t="shared" si="119"/>
        <v>999</v>
      </c>
      <c r="G469">
        <v>5</v>
      </c>
      <c r="H469" t="str">
        <f t="shared" si="120"/>
        <v>99</v>
      </c>
      <c r="I469" t="str">
        <f t="shared" si="118"/>
        <v>0</v>
      </c>
      <c r="J469" t="str">
        <f t="shared" si="105"/>
        <v>00</v>
      </c>
      <c r="K469">
        <v>20141030</v>
      </c>
      <c r="L469" t="str">
        <f>"014531"</f>
        <v>014531</v>
      </c>
      <c r="M469" t="str">
        <f>"00030"</f>
        <v>00030</v>
      </c>
      <c r="N469" t="s">
        <v>215</v>
      </c>
      <c r="O469">
        <v>289.83</v>
      </c>
      <c r="Q469" t="s">
        <v>33</v>
      </c>
      <c r="R469" t="s">
        <v>34</v>
      </c>
      <c r="S469" t="s">
        <v>35</v>
      </c>
      <c r="T469" t="s">
        <v>35</v>
      </c>
      <c r="U469" t="s">
        <v>34</v>
      </c>
      <c r="V469" t="str">
        <f>""</f>
        <v/>
      </c>
      <c r="W469">
        <v>20141029</v>
      </c>
      <c r="X469" t="s">
        <v>216</v>
      </c>
      <c r="Y469" t="s">
        <v>217</v>
      </c>
      <c r="Z469" t="s">
        <v>217</v>
      </c>
      <c r="AA469">
        <v>0</v>
      </c>
      <c r="AB469" t="s">
        <v>142</v>
      </c>
      <c r="AC469" t="s">
        <v>143</v>
      </c>
      <c r="AD469" t="s">
        <v>40</v>
      </c>
      <c r="AE469" t="str">
        <f t="shared" si="116"/>
        <v>10</v>
      </c>
      <c r="AF469" t="s">
        <v>40</v>
      </c>
    </row>
    <row r="470" spans="1:32" x14ac:dyDescent="0.25">
      <c r="A470">
        <v>5</v>
      </c>
      <c r="B470">
        <v>420</v>
      </c>
      <c r="C470" t="str">
        <f>"51"</f>
        <v>51</v>
      </c>
      <c r="D470">
        <v>6269</v>
      </c>
      <c r="E470" t="str">
        <f t="shared" ref="E470:E477" si="121">"00"</f>
        <v>00</v>
      </c>
      <c r="F470" t="str">
        <f t="shared" si="119"/>
        <v>999</v>
      </c>
      <c r="G470">
        <v>5</v>
      </c>
      <c r="H470" t="str">
        <f t="shared" si="120"/>
        <v>99</v>
      </c>
      <c r="I470" t="str">
        <f t="shared" si="118"/>
        <v>0</v>
      </c>
      <c r="J470" t="str">
        <f t="shared" si="105"/>
        <v>00</v>
      </c>
      <c r="K470">
        <v>20141030</v>
      </c>
      <c r="L470" t="str">
        <f>"014532"</f>
        <v>014532</v>
      </c>
      <c r="M470" t="str">
        <f>"00035"</f>
        <v>00035</v>
      </c>
      <c r="N470" t="s">
        <v>307</v>
      </c>
      <c r="O470">
        <v>301.52</v>
      </c>
      <c r="Q470" t="s">
        <v>33</v>
      </c>
      <c r="R470" t="s">
        <v>34</v>
      </c>
      <c r="S470" t="s">
        <v>35</v>
      </c>
      <c r="T470" t="s">
        <v>35</v>
      </c>
      <c r="U470" t="s">
        <v>34</v>
      </c>
      <c r="V470" t="str">
        <f>""</f>
        <v/>
      </c>
      <c r="W470">
        <v>20141029</v>
      </c>
      <c r="X470" t="s">
        <v>225</v>
      </c>
      <c r="Y470" t="s">
        <v>308</v>
      </c>
      <c r="Z470" t="s">
        <v>308</v>
      </c>
      <c r="AA470">
        <v>0</v>
      </c>
      <c r="AB470" t="s">
        <v>142</v>
      </c>
      <c r="AC470" t="s">
        <v>143</v>
      </c>
      <c r="AD470" t="s">
        <v>40</v>
      </c>
      <c r="AE470" t="str">
        <f t="shared" si="116"/>
        <v>10</v>
      </c>
      <c r="AF470" t="s">
        <v>40</v>
      </c>
    </row>
    <row r="471" spans="1:32" x14ac:dyDescent="0.25">
      <c r="A471">
        <v>5</v>
      </c>
      <c r="B471">
        <v>211</v>
      </c>
      <c r="C471" t="str">
        <f>"11"</f>
        <v>11</v>
      </c>
      <c r="D471">
        <v>6399</v>
      </c>
      <c r="E471" t="str">
        <f t="shared" si="121"/>
        <v>00</v>
      </c>
      <c r="F471" t="str">
        <f>"041"</f>
        <v>041</v>
      </c>
      <c r="G471">
        <v>5</v>
      </c>
      <c r="H471" t="str">
        <f>"30"</f>
        <v>30</v>
      </c>
      <c r="I471" t="str">
        <f t="shared" si="118"/>
        <v>0</v>
      </c>
      <c r="J471" t="str">
        <f t="shared" si="105"/>
        <v>00</v>
      </c>
      <c r="K471">
        <v>20141030</v>
      </c>
      <c r="L471" t="str">
        <f>"014533"</f>
        <v>014533</v>
      </c>
      <c r="M471" t="str">
        <f>"00522"</f>
        <v>00522</v>
      </c>
      <c r="N471" t="s">
        <v>441</v>
      </c>
      <c r="O471">
        <v>194.89</v>
      </c>
      <c r="Q471" t="s">
        <v>33</v>
      </c>
      <c r="R471" t="s">
        <v>34</v>
      </c>
      <c r="S471" t="s">
        <v>35</v>
      </c>
      <c r="T471" t="s">
        <v>35</v>
      </c>
      <c r="U471" t="s">
        <v>34</v>
      </c>
      <c r="V471" t="str">
        <f>""</f>
        <v/>
      </c>
      <c r="W471">
        <v>20141030</v>
      </c>
      <c r="X471" t="s">
        <v>417</v>
      </c>
      <c r="Y471" t="s">
        <v>442</v>
      </c>
      <c r="Z471" t="s">
        <v>442</v>
      </c>
      <c r="AA471">
        <v>0</v>
      </c>
      <c r="AB471" t="s">
        <v>174</v>
      </c>
      <c r="AC471" t="s">
        <v>41</v>
      </c>
      <c r="AD471" t="s">
        <v>40</v>
      </c>
      <c r="AE471" t="str">
        <f t="shared" si="116"/>
        <v>10</v>
      </c>
      <c r="AF471" t="s">
        <v>40</v>
      </c>
    </row>
    <row r="472" spans="1:32" x14ac:dyDescent="0.25">
      <c r="A472">
        <v>5</v>
      </c>
      <c r="B472">
        <v>420</v>
      </c>
      <c r="C472" t="str">
        <f>"11"</f>
        <v>11</v>
      </c>
      <c r="D472">
        <v>6399</v>
      </c>
      <c r="E472" t="str">
        <f t="shared" si="121"/>
        <v>00</v>
      </c>
      <c r="F472" t="str">
        <f>"999"</f>
        <v>999</v>
      </c>
      <c r="G472">
        <v>5</v>
      </c>
      <c r="H472" t="str">
        <f>"11"</f>
        <v>11</v>
      </c>
      <c r="I472" t="str">
        <f t="shared" si="118"/>
        <v>0</v>
      </c>
      <c r="J472" t="str">
        <f t="shared" si="105"/>
        <v>00</v>
      </c>
      <c r="K472">
        <v>20141030</v>
      </c>
      <c r="L472" t="str">
        <f>"014534"</f>
        <v>014534</v>
      </c>
      <c r="M472" t="str">
        <f>"00122"</f>
        <v>00122</v>
      </c>
      <c r="N472" t="s">
        <v>443</v>
      </c>
      <c r="O472" s="1">
        <v>1294.77</v>
      </c>
      <c r="Q472" t="s">
        <v>33</v>
      </c>
      <c r="R472" t="s">
        <v>34</v>
      </c>
      <c r="S472" t="s">
        <v>35</v>
      </c>
      <c r="T472" t="s">
        <v>35</v>
      </c>
      <c r="U472" t="s">
        <v>34</v>
      </c>
      <c r="V472" t="str">
        <f>""</f>
        <v/>
      </c>
      <c r="W472">
        <v>20141030</v>
      </c>
      <c r="X472" t="s">
        <v>385</v>
      </c>
      <c r="Y472" t="s">
        <v>444</v>
      </c>
      <c r="Z472" t="s">
        <v>444</v>
      </c>
      <c r="AA472">
        <v>0</v>
      </c>
      <c r="AB472" t="s">
        <v>142</v>
      </c>
      <c r="AC472" t="s">
        <v>143</v>
      </c>
      <c r="AD472" t="s">
        <v>40</v>
      </c>
      <c r="AE472" t="str">
        <f t="shared" si="116"/>
        <v>10</v>
      </c>
      <c r="AF472" t="s">
        <v>40</v>
      </c>
    </row>
    <row r="473" spans="1:32" x14ac:dyDescent="0.25">
      <c r="A473">
        <v>5</v>
      </c>
      <c r="B473">
        <v>410</v>
      </c>
      <c r="C473" t="str">
        <f>"11"</f>
        <v>11</v>
      </c>
      <c r="D473">
        <v>6399</v>
      </c>
      <c r="E473" t="str">
        <f t="shared" si="121"/>
        <v>00</v>
      </c>
      <c r="F473" t="str">
        <f>"101"</f>
        <v>101</v>
      </c>
      <c r="G473">
        <v>5</v>
      </c>
      <c r="H473" t="str">
        <f>"11"</f>
        <v>11</v>
      </c>
      <c r="I473" t="str">
        <f t="shared" si="118"/>
        <v>0</v>
      </c>
      <c r="J473" t="str">
        <f t="shared" ref="J473:J536" si="122">"00"</f>
        <v>00</v>
      </c>
      <c r="K473">
        <v>20141030</v>
      </c>
      <c r="L473" t="str">
        <f>"014535"</f>
        <v>014535</v>
      </c>
      <c r="M473" t="str">
        <f>"00697"</f>
        <v>00697</v>
      </c>
      <c r="N473" t="s">
        <v>445</v>
      </c>
      <c r="O473" s="1">
        <v>3973.71</v>
      </c>
      <c r="Q473" t="s">
        <v>33</v>
      </c>
      <c r="R473" t="s">
        <v>34</v>
      </c>
      <c r="S473" t="s">
        <v>35</v>
      </c>
      <c r="T473" t="s">
        <v>35</v>
      </c>
      <c r="U473" t="s">
        <v>34</v>
      </c>
      <c r="V473" t="str">
        <f>""</f>
        <v/>
      </c>
      <c r="W473">
        <v>20141029</v>
      </c>
      <c r="X473" t="s">
        <v>446</v>
      </c>
      <c r="Y473" t="s">
        <v>447</v>
      </c>
      <c r="Z473" t="s">
        <v>447</v>
      </c>
      <c r="AA473">
        <v>0</v>
      </c>
      <c r="AB473" t="s">
        <v>448</v>
      </c>
      <c r="AC473" t="s">
        <v>41</v>
      </c>
      <c r="AD473" t="s">
        <v>40</v>
      </c>
      <c r="AE473" t="str">
        <f t="shared" si="116"/>
        <v>10</v>
      </c>
      <c r="AF473" t="s">
        <v>40</v>
      </c>
    </row>
    <row r="474" spans="1:32" x14ac:dyDescent="0.25">
      <c r="A474">
        <v>5</v>
      </c>
      <c r="B474">
        <v>420</v>
      </c>
      <c r="C474" t="str">
        <f>"41"</f>
        <v>41</v>
      </c>
      <c r="D474">
        <v>6212</v>
      </c>
      <c r="E474" t="str">
        <f t="shared" si="121"/>
        <v>00</v>
      </c>
      <c r="F474" t="str">
        <f>"750"</f>
        <v>750</v>
      </c>
      <c r="G474">
        <v>5</v>
      </c>
      <c r="H474" t="str">
        <f>"99"</f>
        <v>99</v>
      </c>
      <c r="I474" t="str">
        <f t="shared" si="118"/>
        <v>0</v>
      </c>
      <c r="J474" t="str">
        <f t="shared" si="122"/>
        <v>00</v>
      </c>
      <c r="K474">
        <v>20141030</v>
      </c>
      <c r="L474" t="str">
        <f>"014536"</f>
        <v>014536</v>
      </c>
      <c r="M474" t="str">
        <f>"00791"</f>
        <v>00791</v>
      </c>
      <c r="N474" t="s">
        <v>449</v>
      </c>
      <c r="O474" s="1">
        <v>4147.12</v>
      </c>
      <c r="Q474" t="s">
        <v>33</v>
      </c>
      <c r="R474" t="s">
        <v>34</v>
      </c>
      <c r="S474" t="s">
        <v>35</v>
      </c>
      <c r="T474" t="s">
        <v>35</v>
      </c>
      <c r="U474" t="s">
        <v>34</v>
      </c>
      <c r="V474" t="str">
        <f>""</f>
        <v/>
      </c>
      <c r="W474">
        <v>20141029</v>
      </c>
      <c r="X474" t="s">
        <v>450</v>
      </c>
      <c r="Y474" t="s">
        <v>451</v>
      </c>
      <c r="Z474" t="s">
        <v>451</v>
      </c>
      <c r="AA474">
        <v>0</v>
      </c>
      <c r="AB474" t="s">
        <v>142</v>
      </c>
      <c r="AC474" t="s">
        <v>170</v>
      </c>
      <c r="AD474" t="s">
        <v>40</v>
      </c>
      <c r="AE474" t="str">
        <f t="shared" si="116"/>
        <v>10</v>
      </c>
      <c r="AF474" t="s">
        <v>40</v>
      </c>
    </row>
    <row r="475" spans="1:32" x14ac:dyDescent="0.25">
      <c r="A475">
        <v>5</v>
      </c>
      <c r="B475">
        <v>211</v>
      </c>
      <c r="C475" t="str">
        <f>"11"</f>
        <v>11</v>
      </c>
      <c r="D475">
        <v>6399</v>
      </c>
      <c r="E475" t="str">
        <f t="shared" si="121"/>
        <v>00</v>
      </c>
      <c r="F475" t="str">
        <f>"101"</f>
        <v>101</v>
      </c>
      <c r="G475">
        <v>5</v>
      </c>
      <c r="H475" t="str">
        <f>"30"</f>
        <v>30</v>
      </c>
      <c r="I475" t="str">
        <f t="shared" si="118"/>
        <v>0</v>
      </c>
      <c r="J475" t="str">
        <f t="shared" si="122"/>
        <v>00</v>
      </c>
      <c r="K475">
        <v>20141030</v>
      </c>
      <c r="L475" t="str">
        <f>"014537"</f>
        <v>014537</v>
      </c>
      <c r="M475" t="str">
        <f>"00656"</f>
        <v>00656</v>
      </c>
      <c r="N475" t="s">
        <v>452</v>
      </c>
      <c r="O475">
        <v>72.400000000000006</v>
      </c>
      <c r="Q475" t="s">
        <v>33</v>
      </c>
      <c r="R475" t="s">
        <v>34</v>
      </c>
      <c r="S475" t="s">
        <v>35</v>
      </c>
      <c r="T475" t="s">
        <v>35</v>
      </c>
      <c r="U475" t="s">
        <v>34</v>
      </c>
      <c r="V475" t="str">
        <f>""</f>
        <v/>
      </c>
      <c r="W475">
        <v>20141029</v>
      </c>
      <c r="X475" t="s">
        <v>422</v>
      </c>
      <c r="Y475" t="s">
        <v>453</v>
      </c>
      <c r="Z475" t="s">
        <v>453</v>
      </c>
      <c r="AA475">
        <v>0</v>
      </c>
      <c r="AB475" t="s">
        <v>174</v>
      </c>
      <c r="AC475" t="s">
        <v>41</v>
      </c>
      <c r="AD475" t="s">
        <v>40</v>
      </c>
      <c r="AE475" t="str">
        <f t="shared" si="116"/>
        <v>10</v>
      </c>
      <c r="AF475" t="s">
        <v>40</v>
      </c>
    </row>
    <row r="476" spans="1:32" x14ac:dyDescent="0.25">
      <c r="A476">
        <v>5</v>
      </c>
      <c r="B476">
        <v>420</v>
      </c>
      <c r="C476" t="str">
        <f>"51"</f>
        <v>51</v>
      </c>
      <c r="D476">
        <v>6249</v>
      </c>
      <c r="E476" t="str">
        <f t="shared" si="121"/>
        <v>00</v>
      </c>
      <c r="F476" t="str">
        <f t="shared" ref="F476:F482" si="123">"999"</f>
        <v>999</v>
      </c>
      <c r="G476">
        <v>5</v>
      </c>
      <c r="H476" t="str">
        <f>"99"</f>
        <v>99</v>
      </c>
      <c r="I476" t="str">
        <f t="shared" si="118"/>
        <v>0</v>
      </c>
      <c r="J476" t="str">
        <f t="shared" si="122"/>
        <v>00</v>
      </c>
      <c r="K476">
        <v>20141030</v>
      </c>
      <c r="L476" t="str">
        <f>"014538"</f>
        <v>014538</v>
      </c>
      <c r="M476" t="str">
        <f>"00172"</f>
        <v>00172</v>
      </c>
      <c r="N476" t="s">
        <v>313</v>
      </c>
      <c r="O476" s="1">
        <v>2800</v>
      </c>
      <c r="Q476" t="s">
        <v>33</v>
      </c>
      <c r="R476" t="s">
        <v>34</v>
      </c>
      <c r="S476" t="s">
        <v>35</v>
      </c>
      <c r="T476" t="s">
        <v>35</v>
      </c>
      <c r="U476" t="s">
        <v>34</v>
      </c>
      <c r="V476" t="str">
        <f>""</f>
        <v/>
      </c>
      <c r="W476">
        <v>20141030</v>
      </c>
      <c r="X476" t="s">
        <v>314</v>
      </c>
      <c r="Y476" t="s">
        <v>315</v>
      </c>
      <c r="Z476" t="s">
        <v>315</v>
      </c>
      <c r="AA476">
        <v>0</v>
      </c>
      <c r="AB476" t="s">
        <v>142</v>
      </c>
      <c r="AC476" t="s">
        <v>143</v>
      </c>
      <c r="AD476" t="s">
        <v>40</v>
      </c>
      <c r="AE476" t="str">
        <f t="shared" si="116"/>
        <v>10</v>
      </c>
      <c r="AF476" t="s">
        <v>40</v>
      </c>
    </row>
    <row r="477" spans="1:32" x14ac:dyDescent="0.25">
      <c r="A477">
        <v>5</v>
      </c>
      <c r="B477">
        <v>420</v>
      </c>
      <c r="C477" t="str">
        <f>"11"</f>
        <v>11</v>
      </c>
      <c r="D477">
        <v>6269</v>
      </c>
      <c r="E477" t="str">
        <f t="shared" si="121"/>
        <v>00</v>
      </c>
      <c r="F477" t="str">
        <f t="shared" si="123"/>
        <v>999</v>
      </c>
      <c r="G477">
        <v>5</v>
      </c>
      <c r="H477" t="str">
        <f>"11"</f>
        <v>11</v>
      </c>
      <c r="I477" t="str">
        <f t="shared" si="118"/>
        <v>0</v>
      </c>
      <c r="J477" t="str">
        <f t="shared" si="122"/>
        <v>00</v>
      </c>
      <c r="K477">
        <v>20141030</v>
      </c>
      <c r="L477" t="str">
        <f>"014539"</f>
        <v>014539</v>
      </c>
      <c r="M477" t="str">
        <f>"00622"</f>
        <v>00622</v>
      </c>
      <c r="N477" t="s">
        <v>318</v>
      </c>
      <c r="O477">
        <v>204.4</v>
      </c>
      <c r="Q477" t="s">
        <v>33</v>
      </c>
      <c r="R477" t="s">
        <v>34</v>
      </c>
      <c r="S477" t="s">
        <v>35</v>
      </c>
      <c r="T477" t="s">
        <v>35</v>
      </c>
      <c r="U477" t="s">
        <v>34</v>
      </c>
      <c r="V477" t="str">
        <f>""</f>
        <v/>
      </c>
      <c r="W477">
        <v>20141029</v>
      </c>
      <c r="X477" t="s">
        <v>213</v>
      </c>
      <c r="Y477" t="s">
        <v>319</v>
      </c>
      <c r="Z477" t="s">
        <v>319</v>
      </c>
      <c r="AA477">
        <v>0</v>
      </c>
      <c r="AB477" t="s">
        <v>142</v>
      </c>
      <c r="AC477" t="s">
        <v>143</v>
      </c>
      <c r="AD477" t="s">
        <v>40</v>
      </c>
      <c r="AE477" t="str">
        <f t="shared" si="116"/>
        <v>10</v>
      </c>
      <c r="AF477" t="s">
        <v>40</v>
      </c>
    </row>
    <row r="478" spans="1:32" x14ac:dyDescent="0.25">
      <c r="A478">
        <v>5</v>
      </c>
      <c r="B478">
        <v>420</v>
      </c>
      <c r="C478" t="str">
        <f>"51"</f>
        <v>51</v>
      </c>
      <c r="D478">
        <v>6259</v>
      </c>
      <c r="E478" t="str">
        <f>"53"</f>
        <v>53</v>
      </c>
      <c r="F478" t="str">
        <f t="shared" si="123"/>
        <v>999</v>
      </c>
      <c r="G478">
        <v>5</v>
      </c>
      <c r="H478" t="str">
        <f t="shared" ref="H478:H487" si="124">"99"</f>
        <v>99</v>
      </c>
      <c r="I478" t="str">
        <f t="shared" si="118"/>
        <v>0</v>
      </c>
      <c r="J478" t="str">
        <f t="shared" si="122"/>
        <v>00</v>
      </c>
      <c r="K478">
        <v>20141030</v>
      </c>
      <c r="L478" t="str">
        <f>"014540"</f>
        <v>014540</v>
      </c>
      <c r="M478" t="str">
        <f>"00726"</f>
        <v>00726</v>
      </c>
      <c r="N478" t="s">
        <v>227</v>
      </c>
      <c r="O478" s="1">
        <v>2047.22</v>
      </c>
      <c r="Q478" t="s">
        <v>33</v>
      </c>
      <c r="R478" t="s">
        <v>34</v>
      </c>
      <c r="S478" t="s">
        <v>35</v>
      </c>
      <c r="T478" t="s">
        <v>35</v>
      </c>
      <c r="U478" t="s">
        <v>34</v>
      </c>
      <c r="V478" t="str">
        <f>""</f>
        <v/>
      </c>
      <c r="W478">
        <v>20141029</v>
      </c>
      <c r="X478" t="s">
        <v>228</v>
      </c>
      <c r="Y478" t="s">
        <v>229</v>
      </c>
      <c r="Z478" t="s">
        <v>229</v>
      </c>
      <c r="AA478">
        <v>0</v>
      </c>
      <c r="AB478" t="s">
        <v>142</v>
      </c>
      <c r="AC478" t="s">
        <v>143</v>
      </c>
      <c r="AD478" t="s">
        <v>40</v>
      </c>
      <c r="AE478" t="str">
        <f t="shared" si="116"/>
        <v>10</v>
      </c>
      <c r="AF478" t="s">
        <v>40</v>
      </c>
    </row>
    <row r="479" spans="1:32" x14ac:dyDescent="0.25">
      <c r="A479">
        <v>5</v>
      </c>
      <c r="B479">
        <v>420</v>
      </c>
      <c r="C479" t="str">
        <f>"51"</f>
        <v>51</v>
      </c>
      <c r="D479">
        <v>6259</v>
      </c>
      <c r="E479" t="str">
        <f>"53"</f>
        <v>53</v>
      </c>
      <c r="F479" t="str">
        <f t="shared" si="123"/>
        <v>999</v>
      </c>
      <c r="G479">
        <v>5</v>
      </c>
      <c r="H479" t="str">
        <f t="shared" si="124"/>
        <v>99</v>
      </c>
      <c r="I479" t="str">
        <f t="shared" si="118"/>
        <v>0</v>
      </c>
      <c r="J479" t="str">
        <f t="shared" si="122"/>
        <v>00</v>
      </c>
      <c r="K479">
        <v>20141030</v>
      </c>
      <c r="L479" t="str">
        <f>"014540"</f>
        <v>014540</v>
      </c>
      <c r="M479" t="str">
        <f>"00726"</f>
        <v>00726</v>
      </c>
      <c r="N479" t="s">
        <v>227</v>
      </c>
      <c r="O479" s="1">
        <v>2200.54</v>
      </c>
      <c r="Q479" t="s">
        <v>33</v>
      </c>
      <c r="R479" t="s">
        <v>34</v>
      </c>
      <c r="S479" t="s">
        <v>35</v>
      </c>
      <c r="T479" t="s">
        <v>35</v>
      </c>
      <c r="U479" t="s">
        <v>34</v>
      </c>
      <c r="V479" t="str">
        <f>""</f>
        <v/>
      </c>
      <c r="W479">
        <v>20141029</v>
      </c>
      <c r="X479" t="s">
        <v>228</v>
      </c>
      <c r="Y479" t="s">
        <v>229</v>
      </c>
      <c r="Z479" t="s">
        <v>229</v>
      </c>
      <c r="AA479">
        <v>0</v>
      </c>
      <c r="AB479" t="s">
        <v>142</v>
      </c>
      <c r="AC479" t="s">
        <v>143</v>
      </c>
      <c r="AD479" t="s">
        <v>40</v>
      </c>
      <c r="AE479" t="str">
        <f t="shared" si="116"/>
        <v>10</v>
      </c>
      <c r="AF479" t="s">
        <v>40</v>
      </c>
    </row>
    <row r="480" spans="1:32" x14ac:dyDescent="0.25">
      <c r="A480">
        <v>5</v>
      </c>
      <c r="B480">
        <v>420</v>
      </c>
      <c r="C480" t="str">
        <f>"51"</f>
        <v>51</v>
      </c>
      <c r="D480">
        <v>6259</v>
      </c>
      <c r="E480" t="str">
        <f>"53"</f>
        <v>53</v>
      </c>
      <c r="F480" t="str">
        <f t="shared" si="123"/>
        <v>999</v>
      </c>
      <c r="G480">
        <v>5</v>
      </c>
      <c r="H480" t="str">
        <f t="shared" si="124"/>
        <v>99</v>
      </c>
      <c r="I480" t="str">
        <f t="shared" si="118"/>
        <v>0</v>
      </c>
      <c r="J480" t="str">
        <f t="shared" si="122"/>
        <v>00</v>
      </c>
      <c r="K480">
        <v>20141030</v>
      </c>
      <c r="L480" t="str">
        <f>"014540"</f>
        <v>014540</v>
      </c>
      <c r="M480" t="str">
        <f>"00726"</f>
        <v>00726</v>
      </c>
      <c r="N480" t="s">
        <v>227</v>
      </c>
      <c r="O480">
        <v>597.20000000000005</v>
      </c>
      <c r="Q480" t="s">
        <v>33</v>
      </c>
      <c r="R480" t="s">
        <v>34</v>
      </c>
      <c r="S480" t="s">
        <v>35</v>
      </c>
      <c r="T480" t="s">
        <v>35</v>
      </c>
      <c r="U480" t="s">
        <v>34</v>
      </c>
      <c r="V480" t="str">
        <f>""</f>
        <v/>
      </c>
      <c r="W480">
        <v>20141029</v>
      </c>
      <c r="X480" t="s">
        <v>228</v>
      </c>
      <c r="Y480" t="s">
        <v>229</v>
      </c>
      <c r="Z480" t="s">
        <v>229</v>
      </c>
      <c r="AA480">
        <v>0</v>
      </c>
      <c r="AB480" t="s">
        <v>142</v>
      </c>
      <c r="AC480" t="s">
        <v>143</v>
      </c>
      <c r="AD480" t="s">
        <v>40</v>
      </c>
      <c r="AE480" t="str">
        <f t="shared" si="116"/>
        <v>10</v>
      </c>
      <c r="AF480" t="s">
        <v>40</v>
      </c>
    </row>
    <row r="481" spans="1:32" x14ac:dyDescent="0.25">
      <c r="A481">
        <v>5</v>
      </c>
      <c r="B481">
        <v>420</v>
      </c>
      <c r="C481" t="str">
        <f>"51"</f>
        <v>51</v>
      </c>
      <c r="D481">
        <v>6259</v>
      </c>
      <c r="E481" t="str">
        <f>"53"</f>
        <v>53</v>
      </c>
      <c r="F481" t="str">
        <f t="shared" si="123"/>
        <v>999</v>
      </c>
      <c r="G481">
        <v>5</v>
      </c>
      <c r="H481" t="str">
        <f t="shared" si="124"/>
        <v>99</v>
      </c>
      <c r="I481" t="str">
        <f t="shared" si="118"/>
        <v>0</v>
      </c>
      <c r="J481" t="str">
        <f t="shared" si="122"/>
        <v>00</v>
      </c>
      <c r="K481">
        <v>20141030</v>
      </c>
      <c r="L481" t="str">
        <f>"014540"</f>
        <v>014540</v>
      </c>
      <c r="M481" t="str">
        <f>"00726"</f>
        <v>00726</v>
      </c>
      <c r="N481" t="s">
        <v>227</v>
      </c>
      <c r="O481">
        <v>861.83</v>
      </c>
      <c r="Q481" t="s">
        <v>33</v>
      </c>
      <c r="R481" t="s">
        <v>34</v>
      </c>
      <c r="S481" t="s">
        <v>35</v>
      </c>
      <c r="T481" t="s">
        <v>35</v>
      </c>
      <c r="U481" t="s">
        <v>34</v>
      </c>
      <c r="V481" t="str">
        <f>""</f>
        <v/>
      </c>
      <c r="W481">
        <v>20141029</v>
      </c>
      <c r="X481" t="s">
        <v>228</v>
      </c>
      <c r="Y481" t="s">
        <v>229</v>
      </c>
      <c r="Z481" t="s">
        <v>229</v>
      </c>
      <c r="AA481">
        <v>0</v>
      </c>
      <c r="AB481" t="s">
        <v>142</v>
      </c>
      <c r="AC481" t="s">
        <v>143</v>
      </c>
      <c r="AD481" t="s">
        <v>40</v>
      </c>
      <c r="AE481" t="str">
        <f t="shared" ref="AE481:AE504" si="125">"10"</f>
        <v>10</v>
      </c>
      <c r="AF481" t="s">
        <v>40</v>
      </c>
    </row>
    <row r="482" spans="1:32" x14ac:dyDescent="0.25">
      <c r="A482">
        <v>5</v>
      </c>
      <c r="B482">
        <v>420</v>
      </c>
      <c r="C482" t="str">
        <f>"34"</f>
        <v>34</v>
      </c>
      <c r="D482">
        <v>6429</v>
      </c>
      <c r="E482" t="str">
        <f>"00"</f>
        <v>00</v>
      </c>
      <c r="F482" t="str">
        <f t="shared" si="123"/>
        <v>999</v>
      </c>
      <c r="G482">
        <v>5</v>
      </c>
      <c r="H482" t="str">
        <f t="shared" si="124"/>
        <v>99</v>
      </c>
      <c r="I482" t="str">
        <f t="shared" si="118"/>
        <v>0</v>
      </c>
      <c r="J482" t="str">
        <f t="shared" si="122"/>
        <v>00</v>
      </c>
      <c r="K482">
        <v>20141030</v>
      </c>
      <c r="L482" t="str">
        <f>"014541"</f>
        <v>014541</v>
      </c>
      <c r="M482" t="str">
        <f>"00740"</f>
        <v>00740</v>
      </c>
      <c r="N482" t="s">
        <v>320</v>
      </c>
      <c r="O482">
        <v>397.2</v>
      </c>
      <c r="Q482" t="s">
        <v>33</v>
      </c>
      <c r="R482" t="s">
        <v>34</v>
      </c>
      <c r="S482" t="s">
        <v>35</v>
      </c>
      <c r="T482" t="s">
        <v>35</v>
      </c>
      <c r="U482" t="s">
        <v>34</v>
      </c>
      <c r="V482" t="str">
        <f>""</f>
        <v/>
      </c>
      <c r="W482">
        <v>20141029</v>
      </c>
      <c r="X482" t="s">
        <v>321</v>
      </c>
      <c r="Y482" t="s">
        <v>271</v>
      </c>
      <c r="Z482" t="s">
        <v>271</v>
      </c>
      <c r="AA482">
        <v>0</v>
      </c>
      <c r="AB482" t="s">
        <v>142</v>
      </c>
      <c r="AC482" t="s">
        <v>143</v>
      </c>
      <c r="AD482" t="s">
        <v>40</v>
      </c>
      <c r="AE482" t="str">
        <f t="shared" si="125"/>
        <v>10</v>
      </c>
      <c r="AF482" t="s">
        <v>40</v>
      </c>
    </row>
    <row r="483" spans="1:32" x14ac:dyDescent="0.25">
      <c r="A483">
        <v>5</v>
      </c>
      <c r="B483">
        <v>420</v>
      </c>
      <c r="C483" t="str">
        <f>"41"</f>
        <v>41</v>
      </c>
      <c r="D483">
        <v>6429</v>
      </c>
      <c r="E483" t="str">
        <f>"00"</f>
        <v>00</v>
      </c>
      <c r="F483" t="str">
        <f>"750"</f>
        <v>750</v>
      </c>
      <c r="G483">
        <v>5</v>
      </c>
      <c r="H483" t="str">
        <f t="shared" si="124"/>
        <v>99</v>
      </c>
      <c r="I483" t="str">
        <f t="shared" si="118"/>
        <v>0</v>
      </c>
      <c r="J483" t="str">
        <f t="shared" si="122"/>
        <v>00</v>
      </c>
      <c r="K483">
        <v>20141030</v>
      </c>
      <c r="L483" t="str">
        <f>"014541"</f>
        <v>014541</v>
      </c>
      <c r="M483" t="str">
        <f>"00740"</f>
        <v>00740</v>
      </c>
      <c r="N483" t="s">
        <v>320</v>
      </c>
      <c r="O483">
        <v>56.62</v>
      </c>
      <c r="Q483" t="s">
        <v>33</v>
      </c>
      <c r="R483" t="s">
        <v>34</v>
      </c>
      <c r="S483" t="s">
        <v>35</v>
      </c>
      <c r="T483" t="s">
        <v>35</v>
      </c>
      <c r="U483" t="s">
        <v>34</v>
      </c>
      <c r="V483" t="str">
        <f>""</f>
        <v/>
      </c>
      <c r="W483">
        <v>20141029</v>
      </c>
      <c r="X483" t="s">
        <v>322</v>
      </c>
      <c r="Y483" t="s">
        <v>271</v>
      </c>
      <c r="Z483" t="s">
        <v>271</v>
      </c>
      <c r="AA483">
        <v>0</v>
      </c>
      <c r="AB483" t="s">
        <v>142</v>
      </c>
      <c r="AC483" t="s">
        <v>170</v>
      </c>
      <c r="AD483" t="s">
        <v>40</v>
      </c>
      <c r="AE483" t="str">
        <f t="shared" si="125"/>
        <v>10</v>
      </c>
      <c r="AF483" t="s">
        <v>40</v>
      </c>
    </row>
    <row r="484" spans="1:32" x14ac:dyDescent="0.25">
      <c r="A484">
        <v>5</v>
      </c>
      <c r="B484">
        <v>420</v>
      </c>
      <c r="C484" t="str">
        <f>"51"</f>
        <v>51</v>
      </c>
      <c r="D484">
        <v>6429</v>
      </c>
      <c r="E484" t="str">
        <f>"00"</f>
        <v>00</v>
      </c>
      <c r="F484" t="str">
        <f>"999"</f>
        <v>999</v>
      </c>
      <c r="G484">
        <v>5</v>
      </c>
      <c r="H484" t="str">
        <f t="shared" si="124"/>
        <v>99</v>
      </c>
      <c r="I484" t="str">
        <f t="shared" si="118"/>
        <v>0</v>
      </c>
      <c r="J484" t="str">
        <f t="shared" si="122"/>
        <v>00</v>
      </c>
      <c r="K484">
        <v>20141030</v>
      </c>
      <c r="L484" t="str">
        <f>"014541"</f>
        <v>014541</v>
      </c>
      <c r="M484" t="str">
        <f>"00740"</f>
        <v>00740</v>
      </c>
      <c r="N484" t="s">
        <v>320</v>
      </c>
      <c r="O484" s="1">
        <v>1358.98</v>
      </c>
      <c r="Q484" t="s">
        <v>33</v>
      </c>
      <c r="R484" t="s">
        <v>34</v>
      </c>
      <c r="S484" t="s">
        <v>35</v>
      </c>
      <c r="T484" t="s">
        <v>35</v>
      </c>
      <c r="U484" t="s">
        <v>34</v>
      </c>
      <c r="V484" t="str">
        <f>""</f>
        <v/>
      </c>
      <c r="W484">
        <v>20141029</v>
      </c>
      <c r="X484" t="s">
        <v>323</v>
      </c>
      <c r="Y484" t="s">
        <v>271</v>
      </c>
      <c r="Z484" t="s">
        <v>271</v>
      </c>
      <c r="AA484">
        <v>0</v>
      </c>
      <c r="AB484" t="s">
        <v>142</v>
      </c>
      <c r="AC484" t="s">
        <v>143</v>
      </c>
      <c r="AD484" t="s">
        <v>40</v>
      </c>
      <c r="AE484" t="str">
        <f t="shared" si="125"/>
        <v>10</v>
      </c>
      <c r="AF484" t="s">
        <v>40</v>
      </c>
    </row>
    <row r="485" spans="1:32" x14ac:dyDescent="0.25">
      <c r="A485">
        <v>5</v>
      </c>
      <c r="B485">
        <v>420</v>
      </c>
      <c r="C485" t="str">
        <f>"51"</f>
        <v>51</v>
      </c>
      <c r="D485">
        <v>6319</v>
      </c>
      <c r="E485" t="str">
        <f>"00"</f>
        <v>00</v>
      </c>
      <c r="F485" t="str">
        <f>"999"</f>
        <v>999</v>
      </c>
      <c r="G485">
        <v>5</v>
      </c>
      <c r="H485" t="str">
        <f t="shared" si="124"/>
        <v>99</v>
      </c>
      <c r="I485" t="str">
        <f t="shared" si="118"/>
        <v>0</v>
      </c>
      <c r="J485" t="str">
        <f t="shared" si="122"/>
        <v>00</v>
      </c>
      <c r="K485">
        <v>20141030</v>
      </c>
      <c r="L485" t="str">
        <f>"014542"</f>
        <v>014542</v>
      </c>
      <c r="M485" t="str">
        <f>"00248"</f>
        <v>00248</v>
      </c>
      <c r="N485" t="s">
        <v>345</v>
      </c>
      <c r="O485">
        <v>369.9</v>
      </c>
      <c r="Q485" t="s">
        <v>33</v>
      </c>
      <c r="R485" t="s">
        <v>34</v>
      </c>
      <c r="S485" t="s">
        <v>35</v>
      </c>
      <c r="T485" t="s">
        <v>35</v>
      </c>
      <c r="U485" t="s">
        <v>34</v>
      </c>
      <c r="V485" t="str">
        <f>""</f>
        <v/>
      </c>
      <c r="W485">
        <v>20141029</v>
      </c>
      <c r="X485" t="s">
        <v>185</v>
      </c>
      <c r="Y485" t="s">
        <v>454</v>
      </c>
      <c r="Z485" t="s">
        <v>454</v>
      </c>
      <c r="AA485">
        <v>0</v>
      </c>
      <c r="AB485" t="s">
        <v>142</v>
      </c>
      <c r="AC485" t="s">
        <v>143</v>
      </c>
      <c r="AD485" t="s">
        <v>40</v>
      </c>
      <c r="AE485" t="str">
        <f t="shared" si="125"/>
        <v>10</v>
      </c>
      <c r="AF485" t="s">
        <v>40</v>
      </c>
    </row>
    <row r="486" spans="1:32" x14ac:dyDescent="0.25">
      <c r="A486">
        <v>5</v>
      </c>
      <c r="B486">
        <v>240</v>
      </c>
      <c r="C486" t="str">
        <f>"35"</f>
        <v>35</v>
      </c>
      <c r="D486">
        <v>6349</v>
      </c>
      <c r="E486" t="str">
        <f>"00"</f>
        <v>00</v>
      </c>
      <c r="F486" t="str">
        <f>"999"</f>
        <v>999</v>
      </c>
      <c r="G486">
        <v>5</v>
      </c>
      <c r="H486" t="str">
        <f t="shared" si="124"/>
        <v>99</v>
      </c>
      <c r="I486" t="str">
        <f t="shared" si="118"/>
        <v>0</v>
      </c>
      <c r="J486" t="str">
        <f t="shared" si="122"/>
        <v>00</v>
      </c>
      <c r="K486">
        <v>20141030</v>
      </c>
      <c r="L486" t="str">
        <f>"014543"</f>
        <v>014543</v>
      </c>
      <c r="M486" t="str">
        <f>"00789"</f>
        <v>00789</v>
      </c>
      <c r="N486" t="s">
        <v>455</v>
      </c>
      <c r="O486">
        <v>77.88</v>
      </c>
      <c r="Q486" t="s">
        <v>33</v>
      </c>
      <c r="R486" t="s">
        <v>34</v>
      </c>
      <c r="S486" t="s">
        <v>35</v>
      </c>
      <c r="T486" t="s">
        <v>35</v>
      </c>
      <c r="U486" t="s">
        <v>34</v>
      </c>
      <c r="V486" t="str">
        <f>""</f>
        <v/>
      </c>
      <c r="W486">
        <v>20141029</v>
      </c>
      <c r="X486" t="s">
        <v>236</v>
      </c>
      <c r="Y486" t="s">
        <v>456</v>
      </c>
      <c r="Z486" t="s">
        <v>456</v>
      </c>
      <c r="AA486">
        <v>0</v>
      </c>
      <c r="AB486" t="s">
        <v>238</v>
      </c>
      <c r="AC486" t="s">
        <v>143</v>
      </c>
      <c r="AD486" t="s">
        <v>40</v>
      </c>
      <c r="AE486" t="str">
        <f t="shared" si="125"/>
        <v>10</v>
      </c>
      <c r="AF486" t="s">
        <v>40</v>
      </c>
    </row>
    <row r="487" spans="1:32" x14ac:dyDescent="0.25">
      <c r="A487">
        <v>5</v>
      </c>
      <c r="B487">
        <v>420</v>
      </c>
      <c r="C487" t="str">
        <f>"53"</f>
        <v>53</v>
      </c>
      <c r="D487">
        <v>6219</v>
      </c>
      <c r="E487" t="str">
        <f>"09"</f>
        <v>09</v>
      </c>
      <c r="F487" t="str">
        <f>"999"</f>
        <v>999</v>
      </c>
      <c r="G487">
        <v>5</v>
      </c>
      <c r="H487" t="str">
        <f t="shared" si="124"/>
        <v>99</v>
      </c>
      <c r="I487" t="str">
        <f t="shared" si="118"/>
        <v>0</v>
      </c>
      <c r="J487" t="str">
        <f t="shared" si="122"/>
        <v>00</v>
      </c>
      <c r="K487">
        <v>20141030</v>
      </c>
      <c r="L487" t="str">
        <f>"014544"</f>
        <v>014544</v>
      </c>
      <c r="M487" t="str">
        <f>"00292"</f>
        <v>00292</v>
      </c>
      <c r="N487" t="s">
        <v>457</v>
      </c>
      <c r="O487" s="1">
        <v>1140</v>
      </c>
      <c r="Q487" t="s">
        <v>33</v>
      </c>
      <c r="R487" t="s">
        <v>34</v>
      </c>
      <c r="S487" t="s">
        <v>35</v>
      </c>
      <c r="T487" t="s">
        <v>35</v>
      </c>
      <c r="U487" t="s">
        <v>34</v>
      </c>
      <c r="V487" t="str">
        <f>""</f>
        <v/>
      </c>
      <c r="W487">
        <v>20141029</v>
      </c>
      <c r="X487" t="s">
        <v>458</v>
      </c>
      <c r="Y487" t="s">
        <v>459</v>
      </c>
      <c r="Z487" t="s">
        <v>459</v>
      </c>
      <c r="AA487">
        <v>0</v>
      </c>
      <c r="AB487" t="s">
        <v>142</v>
      </c>
      <c r="AC487" t="s">
        <v>143</v>
      </c>
      <c r="AD487" t="s">
        <v>40</v>
      </c>
      <c r="AE487" t="str">
        <f t="shared" si="125"/>
        <v>10</v>
      </c>
      <c r="AF487" t="s">
        <v>40</v>
      </c>
    </row>
    <row r="488" spans="1:32" x14ac:dyDescent="0.25">
      <c r="A488">
        <v>5</v>
      </c>
      <c r="B488">
        <v>420</v>
      </c>
      <c r="C488" t="str">
        <f>"11"</f>
        <v>11</v>
      </c>
      <c r="D488">
        <v>6399</v>
      </c>
      <c r="E488" t="str">
        <f t="shared" ref="E488:E522" si="126">"00"</f>
        <v>00</v>
      </c>
      <c r="F488" t="str">
        <f>"001"</f>
        <v>001</v>
      </c>
      <c r="G488">
        <v>5</v>
      </c>
      <c r="H488" t="str">
        <f>"11"</f>
        <v>11</v>
      </c>
      <c r="I488" t="str">
        <f t="shared" si="118"/>
        <v>0</v>
      </c>
      <c r="J488" t="str">
        <f t="shared" si="122"/>
        <v>00</v>
      </c>
      <c r="K488">
        <v>20141030</v>
      </c>
      <c r="L488" t="str">
        <f>"014545"</f>
        <v>014545</v>
      </c>
      <c r="M488" t="str">
        <f>"00701"</f>
        <v>00701</v>
      </c>
      <c r="N488" t="s">
        <v>120</v>
      </c>
      <c r="O488">
        <v>34.29</v>
      </c>
      <c r="Q488" t="s">
        <v>33</v>
      </c>
      <c r="R488" t="s">
        <v>34</v>
      </c>
      <c r="S488" t="s">
        <v>35</v>
      </c>
      <c r="T488" t="s">
        <v>35</v>
      </c>
      <c r="U488" t="s">
        <v>34</v>
      </c>
      <c r="V488" t="str">
        <f>""</f>
        <v/>
      </c>
      <c r="W488">
        <v>20141029</v>
      </c>
      <c r="X488" t="s">
        <v>239</v>
      </c>
      <c r="Y488" t="s">
        <v>460</v>
      </c>
      <c r="Z488" t="s">
        <v>460</v>
      </c>
      <c r="AA488">
        <v>0</v>
      </c>
      <c r="AB488" t="s">
        <v>142</v>
      </c>
      <c r="AC488" t="s">
        <v>41</v>
      </c>
      <c r="AD488" t="s">
        <v>40</v>
      </c>
      <c r="AE488" t="str">
        <f t="shared" si="125"/>
        <v>10</v>
      </c>
      <c r="AF488" t="s">
        <v>40</v>
      </c>
    </row>
    <row r="489" spans="1:32" x14ac:dyDescent="0.25">
      <c r="A489">
        <v>5</v>
      </c>
      <c r="B489">
        <v>420</v>
      </c>
      <c r="C489" t="str">
        <f>"11"</f>
        <v>11</v>
      </c>
      <c r="D489">
        <v>6399</v>
      </c>
      <c r="E489" t="str">
        <f t="shared" si="126"/>
        <v>00</v>
      </c>
      <c r="F489" t="str">
        <f>"041"</f>
        <v>041</v>
      </c>
      <c r="G489">
        <v>5</v>
      </c>
      <c r="H489" t="str">
        <f>"11"</f>
        <v>11</v>
      </c>
      <c r="I489" t="str">
        <f t="shared" si="118"/>
        <v>0</v>
      </c>
      <c r="J489" t="str">
        <f t="shared" si="122"/>
        <v>00</v>
      </c>
      <c r="K489">
        <v>20141030</v>
      </c>
      <c r="L489" t="str">
        <f>"014545"</f>
        <v>014545</v>
      </c>
      <c r="M489" t="str">
        <f>"00701"</f>
        <v>00701</v>
      </c>
      <c r="N489" t="s">
        <v>120</v>
      </c>
      <c r="O489">
        <v>34.29</v>
      </c>
      <c r="Q489" t="s">
        <v>33</v>
      </c>
      <c r="R489" t="s">
        <v>34</v>
      </c>
      <c r="S489" t="s">
        <v>35</v>
      </c>
      <c r="T489" t="s">
        <v>35</v>
      </c>
      <c r="U489" t="s">
        <v>34</v>
      </c>
      <c r="V489" t="str">
        <f>""</f>
        <v/>
      </c>
      <c r="W489">
        <v>20141029</v>
      </c>
      <c r="X489" t="s">
        <v>241</v>
      </c>
      <c r="Y489" t="s">
        <v>460</v>
      </c>
      <c r="Z489" t="s">
        <v>460</v>
      </c>
      <c r="AA489">
        <v>0</v>
      </c>
      <c r="AB489" t="s">
        <v>142</v>
      </c>
      <c r="AC489" t="s">
        <v>41</v>
      </c>
      <c r="AD489" t="s">
        <v>40</v>
      </c>
      <c r="AE489" t="str">
        <f t="shared" si="125"/>
        <v>10</v>
      </c>
      <c r="AF489" t="s">
        <v>40</v>
      </c>
    </row>
    <row r="490" spans="1:32" x14ac:dyDescent="0.25">
      <c r="A490">
        <v>5</v>
      </c>
      <c r="B490">
        <v>420</v>
      </c>
      <c r="C490" t="str">
        <f>"11"</f>
        <v>11</v>
      </c>
      <c r="D490">
        <v>6399</v>
      </c>
      <c r="E490" t="str">
        <f t="shared" si="126"/>
        <v>00</v>
      </c>
      <c r="F490" t="str">
        <f>"041"</f>
        <v>041</v>
      </c>
      <c r="G490">
        <v>5</v>
      </c>
      <c r="H490" t="str">
        <f>"11"</f>
        <v>11</v>
      </c>
      <c r="I490" t="str">
        <f t="shared" si="118"/>
        <v>0</v>
      </c>
      <c r="J490" t="str">
        <f t="shared" si="122"/>
        <v>00</v>
      </c>
      <c r="K490">
        <v>20141030</v>
      </c>
      <c r="L490" t="str">
        <f>"014545"</f>
        <v>014545</v>
      </c>
      <c r="M490" t="str">
        <f>"00701"</f>
        <v>00701</v>
      </c>
      <c r="N490" t="s">
        <v>120</v>
      </c>
      <c r="O490">
        <v>131.63999999999999</v>
      </c>
      <c r="Q490" t="s">
        <v>33</v>
      </c>
      <c r="R490" t="s">
        <v>34</v>
      </c>
      <c r="S490" t="s">
        <v>35</v>
      </c>
      <c r="T490" t="s">
        <v>35</v>
      </c>
      <c r="U490" t="s">
        <v>34</v>
      </c>
      <c r="V490" t="str">
        <f>""</f>
        <v/>
      </c>
      <c r="W490">
        <v>20141030</v>
      </c>
      <c r="X490" t="s">
        <v>241</v>
      </c>
      <c r="Y490" t="s">
        <v>461</v>
      </c>
      <c r="Z490" t="s">
        <v>461</v>
      </c>
      <c r="AA490">
        <v>0</v>
      </c>
      <c r="AB490" t="s">
        <v>142</v>
      </c>
      <c r="AC490" t="s">
        <v>41</v>
      </c>
      <c r="AD490" t="s">
        <v>40</v>
      </c>
      <c r="AE490" t="str">
        <f t="shared" si="125"/>
        <v>10</v>
      </c>
      <c r="AF490" t="s">
        <v>40</v>
      </c>
    </row>
    <row r="491" spans="1:32" x14ac:dyDescent="0.25">
      <c r="A491">
        <v>5</v>
      </c>
      <c r="B491">
        <v>420</v>
      </c>
      <c r="C491" t="str">
        <f>"11"</f>
        <v>11</v>
      </c>
      <c r="D491">
        <v>6399</v>
      </c>
      <c r="E491" t="str">
        <f t="shared" si="126"/>
        <v>00</v>
      </c>
      <c r="F491" t="str">
        <f>"101"</f>
        <v>101</v>
      </c>
      <c r="G491">
        <v>5</v>
      </c>
      <c r="H491" t="str">
        <f>"11"</f>
        <v>11</v>
      </c>
      <c r="I491" t="str">
        <f t="shared" si="118"/>
        <v>0</v>
      </c>
      <c r="J491" t="str">
        <f t="shared" si="122"/>
        <v>00</v>
      </c>
      <c r="K491">
        <v>20141030</v>
      </c>
      <c r="L491" t="str">
        <f>"014545"</f>
        <v>014545</v>
      </c>
      <c r="M491" t="str">
        <f>"00701"</f>
        <v>00701</v>
      </c>
      <c r="N491" t="s">
        <v>120</v>
      </c>
      <c r="O491">
        <v>145.71</v>
      </c>
      <c r="Q491" t="s">
        <v>33</v>
      </c>
      <c r="R491" t="s">
        <v>34</v>
      </c>
      <c r="S491" t="s">
        <v>35</v>
      </c>
      <c r="T491" t="s">
        <v>35</v>
      </c>
      <c r="U491" t="s">
        <v>34</v>
      </c>
      <c r="V491" t="str">
        <f>""</f>
        <v/>
      </c>
      <c r="W491">
        <v>20141029</v>
      </c>
      <c r="X491" t="s">
        <v>246</v>
      </c>
      <c r="Y491" t="s">
        <v>460</v>
      </c>
      <c r="Z491" t="s">
        <v>460</v>
      </c>
      <c r="AA491">
        <v>0</v>
      </c>
      <c r="AB491" t="s">
        <v>142</v>
      </c>
      <c r="AC491" t="s">
        <v>41</v>
      </c>
      <c r="AD491" t="s">
        <v>40</v>
      </c>
      <c r="AE491" t="str">
        <f t="shared" si="125"/>
        <v>10</v>
      </c>
      <c r="AF491" t="s">
        <v>40</v>
      </c>
    </row>
    <row r="492" spans="1:32" x14ac:dyDescent="0.25">
      <c r="A492">
        <v>5</v>
      </c>
      <c r="B492">
        <v>240</v>
      </c>
      <c r="C492" t="str">
        <f>"35"</f>
        <v>35</v>
      </c>
      <c r="D492">
        <v>6341</v>
      </c>
      <c r="E492" t="str">
        <f t="shared" si="126"/>
        <v>00</v>
      </c>
      <c r="F492" t="str">
        <f>"999"</f>
        <v>999</v>
      </c>
      <c r="G492">
        <v>5</v>
      </c>
      <c r="H492" t="str">
        <f>"99"</f>
        <v>99</v>
      </c>
      <c r="I492" t="str">
        <f t="shared" si="118"/>
        <v>0</v>
      </c>
      <c r="J492" t="str">
        <f t="shared" si="122"/>
        <v>00</v>
      </c>
      <c r="K492">
        <v>20141030</v>
      </c>
      <c r="L492" t="str">
        <f>"014546"</f>
        <v>014546</v>
      </c>
      <c r="M492" t="str">
        <f>"00391"</f>
        <v>00391</v>
      </c>
      <c r="N492" t="s">
        <v>265</v>
      </c>
      <c r="O492">
        <v>285.23</v>
      </c>
      <c r="Q492" t="s">
        <v>33</v>
      </c>
      <c r="R492" t="s">
        <v>34</v>
      </c>
      <c r="S492" t="s">
        <v>35</v>
      </c>
      <c r="T492" t="s">
        <v>35</v>
      </c>
      <c r="U492" t="s">
        <v>34</v>
      </c>
      <c r="V492" t="str">
        <f>""</f>
        <v/>
      </c>
      <c r="W492">
        <v>20141029</v>
      </c>
      <c r="X492" t="s">
        <v>268</v>
      </c>
      <c r="Y492" t="s">
        <v>266</v>
      </c>
      <c r="Z492" t="s">
        <v>266</v>
      </c>
      <c r="AA492">
        <v>0</v>
      </c>
      <c r="AB492" t="s">
        <v>238</v>
      </c>
      <c r="AC492" t="s">
        <v>143</v>
      </c>
      <c r="AD492" t="s">
        <v>40</v>
      </c>
      <c r="AE492" t="str">
        <f t="shared" si="125"/>
        <v>10</v>
      </c>
      <c r="AF492" t="s">
        <v>40</v>
      </c>
    </row>
    <row r="493" spans="1:32" x14ac:dyDescent="0.25">
      <c r="A493">
        <v>5</v>
      </c>
      <c r="B493">
        <v>240</v>
      </c>
      <c r="C493" t="str">
        <f>"35"</f>
        <v>35</v>
      </c>
      <c r="D493">
        <v>6341</v>
      </c>
      <c r="E493" t="str">
        <f t="shared" si="126"/>
        <v>00</v>
      </c>
      <c r="F493" t="str">
        <f>"999"</f>
        <v>999</v>
      </c>
      <c r="G493">
        <v>5</v>
      </c>
      <c r="H493" t="str">
        <f>"99"</f>
        <v>99</v>
      </c>
      <c r="I493" t="str">
        <f t="shared" si="118"/>
        <v>0</v>
      </c>
      <c r="J493" t="str">
        <f t="shared" si="122"/>
        <v>00</v>
      </c>
      <c r="K493">
        <v>20141030</v>
      </c>
      <c r="L493" t="str">
        <f>"014546"</f>
        <v>014546</v>
      </c>
      <c r="M493" t="str">
        <f>"00391"</f>
        <v>00391</v>
      </c>
      <c r="N493" t="s">
        <v>265</v>
      </c>
      <c r="O493" s="1">
        <v>3288.11</v>
      </c>
      <c r="Q493" t="s">
        <v>33</v>
      </c>
      <c r="R493" t="s">
        <v>34</v>
      </c>
      <c r="S493" t="s">
        <v>35</v>
      </c>
      <c r="T493" t="s">
        <v>35</v>
      </c>
      <c r="U493" t="s">
        <v>34</v>
      </c>
      <c r="V493" t="str">
        <f>""</f>
        <v/>
      </c>
      <c r="W493">
        <v>20141029</v>
      </c>
      <c r="X493" t="s">
        <v>268</v>
      </c>
      <c r="Y493" t="s">
        <v>266</v>
      </c>
      <c r="Z493" t="s">
        <v>266</v>
      </c>
      <c r="AA493">
        <v>0</v>
      </c>
      <c r="AB493" t="s">
        <v>238</v>
      </c>
      <c r="AC493" t="s">
        <v>143</v>
      </c>
      <c r="AD493" t="s">
        <v>40</v>
      </c>
      <c r="AE493" t="str">
        <f t="shared" si="125"/>
        <v>10</v>
      </c>
      <c r="AF493" t="s">
        <v>40</v>
      </c>
    </row>
    <row r="494" spans="1:32" x14ac:dyDescent="0.25">
      <c r="A494">
        <v>5</v>
      </c>
      <c r="B494">
        <v>240</v>
      </c>
      <c r="C494" t="str">
        <f>"35"</f>
        <v>35</v>
      </c>
      <c r="D494">
        <v>6342</v>
      </c>
      <c r="E494" t="str">
        <f t="shared" si="126"/>
        <v>00</v>
      </c>
      <c r="F494" t="str">
        <f>"999"</f>
        <v>999</v>
      </c>
      <c r="G494">
        <v>5</v>
      </c>
      <c r="H494" t="str">
        <f>"99"</f>
        <v>99</v>
      </c>
      <c r="I494" t="str">
        <f t="shared" si="118"/>
        <v>0</v>
      </c>
      <c r="J494" t="str">
        <f t="shared" si="122"/>
        <v>00</v>
      </c>
      <c r="K494">
        <v>20141030</v>
      </c>
      <c r="L494" t="str">
        <f>"014546"</f>
        <v>014546</v>
      </c>
      <c r="M494" t="str">
        <f>"00391"</f>
        <v>00391</v>
      </c>
      <c r="N494" t="s">
        <v>265</v>
      </c>
      <c r="O494">
        <v>94.41</v>
      </c>
      <c r="Q494" t="s">
        <v>33</v>
      </c>
      <c r="R494" t="s">
        <v>34</v>
      </c>
      <c r="S494" t="s">
        <v>35</v>
      </c>
      <c r="T494" t="s">
        <v>35</v>
      </c>
      <c r="U494" t="s">
        <v>34</v>
      </c>
      <c r="V494" t="str">
        <f>""</f>
        <v/>
      </c>
      <c r="W494">
        <v>20141029</v>
      </c>
      <c r="X494" t="s">
        <v>269</v>
      </c>
      <c r="Y494" t="s">
        <v>266</v>
      </c>
      <c r="Z494" t="s">
        <v>266</v>
      </c>
      <c r="AA494">
        <v>0</v>
      </c>
      <c r="AB494" t="s">
        <v>238</v>
      </c>
      <c r="AC494" t="s">
        <v>143</v>
      </c>
      <c r="AD494" t="s">
        <v>40</v>
      </c>
      <c r="AE494" t="str">
        <f t="shared" si="125"/>
        <v>10</v>
      </c>
      <c r="AF494" t="s">
        <v>40</v>
      </c>
    </row>
    <row r="495" spans="1:32" x14ac:dyDescent="0.25">
      <c r="A495">
        <v>5</v>
      </c>
      <c r="B495">
        <v>420</v>
      </c>
      <c r="C495" t="str">
        <f>"51"</f>
        <v>51</v>
      </c>
      <c r="D495">
        <v>6299</v>
      </c>
      <c r="E495" t="str">
        <f t="shared" si="126"/>
        <v>00</v>
      </c>
      <c r="F495" t="str">
        <f>"999"</f>
        <v>999</v>
      </c>
      <c r="G495">
        <v>5</v>
      </c>
      <c r="H495" t="str">
        <f>"99"</f>
        <v>99</v>
      </c>
      <c r="I495" t="str">
        <f t="shared" si="118"/>
        <v>0</v>
      </c>
      <c r="J495" t="str">
        <f t="shared" si="122"/>
        <v>00</v>
      </c>
      <c r="K495">
        <v>20141030</v>
      </c>
      <c r="L495" t="str">
        <f>"014547"</f>
        <v>014547</v>
      </c>
      <c r="M495" t="str">
        <f>"00577"</f>
        <v>00577</v>
      </c>
      <c r="N495" t="s">
        <v>251</v>
      </c>
      <c r="O495">
        <v>63.72</v>
      </c>
      <c r="Q495" t="s">
        <v>33</v>
      </c>
      <c r="R495" t="s">
        <v>34</v>
      </c>
      <c r="S495" t="s">
        <v>35</v>
      </c>
      <c r="T495" t="s">
        <v>35</v>
      </c>
      <c r="U495" t="s">
        <v>34</v>
      </c>
      <c r="V495" t="str">
        <f>""</f>
        <v/>
      </c>
      <c r="W495">
        <v>20141029</v>
      </c>
      <c r="X495" t="s">
        <v>203</v>
      </c>
      <c r="Y495" t="s">
        <v>253</v>
      </c>
      <c r="Z495" t="s">
        <v>253</v>
      </c>
      <c r="AA495">
        <v>0</v>
      </c>
      <c r="AB495" t="s">
        <v>142</v>
      </c>
      <c r="AC495" t="s">
        <v>143</v>
      </c>
      <c r="AD495" t="s">
        <v>40</v>
      </c>
      <c r="AE495" t="str">
        <f t="shared" si="125"/>
        <v>10</v>
      </c>
      <c r="AF495" t="s">
        <v>40</v>
      </c>
    </row>
    <row r="496" spans="1:32" x14ac:dyDescent="0.25">
      <c r="A496">
        <v>5</v>
      </c>
      <c r="B496">
        <v>420</v>
      </c>
      <c r="C496" t="str">
        <f>"51"</f>
        <v>51</v>
      </c>
      <c r="D496">
        <v>6299</v>
      </c>
      <c r="E496" t="str">
        <f t="shared" si="126"/>
        <v>00</v>
      </c>
      <c r="F496" t="str">
        <f>"999"</f>
        <v>999</v>
      </c>
      <c r="G496">
        <v>5</v>
      </c>
      <c r="H496" t="str">
        <f>"99"</f>
        <v>99</v>
      </c>
      <c r="I496" t="str">
        <f t="shared" si="118"/>
        <v>0</v>
      </c>
      <c r="J496" t="str">
        <f t="shared" si="122"/>
        <v>00</v>
      </c>
      <c r="K496">
        <v>20141030</v>
      </c>
      <c r="L496" t="str">
        <f>"014547"</f>
        <v>014547</v>
      </c>
      <c r="M496" t="str">
        <f>"00577"</f>
        <v>00577</v>
      </c>
      <c r="N496" t="s">
        <v>251</v>
      </c>
      <c r="O496">
        <v>63.72</v>
      </c>
      <c r="Q496" t="s">
        <v>33</v>
      </c>
      <c r="R496" t="s">
        <v>34</v>
      </c>
      <c r="S496" t="s">
        <v>35</v>
      </c>
      <c r="T496" t="s">
        <v>35</v>
      </c>
      <c r="U496" t="s">
        <v>34</v>
      </c>
      <c r="V496" t="str">
        <f>""</f>
        <v/>
      </c>
      <c r="W496">
        <v>20141030</v>
      </c>
      <c r="X496" t="s">
        <v>203</v>
      </c>
      <c r="Y496" t="s">
        <v>253</v>
      </c>
      <c r="Z496" t="s">
        <v>253</v>
      </c>
      <c r="AA496">
        <v>0</v>
      </c>
      <c r="AB496" t="s">
        <v>142</v>
      </c>
      <c r="AC496" t="s">
        <v>143</v>
      </c>
      <c r="AD496" t="s">
        <v>40</v>
      </c>
      <c r="AE496" t="str">
        <f t="shared" si="125"/>
        <v>10</v>
      </c>
      <c r="AF496" t="s">
        <v>40</v>
      </c>
    </row>
    <row r="497" spans="1:32" x14ac:dyDescent="0.25">
      <c r="A497">
        <v>5</v>
      </c>
      <c r="B497">
        <v>420</v>
      </c>
      <c r="C497" t="str">
        <f>"36"</f>
        <v>36</v>
      </c>
      <c r="D497">
        <v>6499</v>
      </c>
      <c r="E497" t="str">
        <f t="shared" si="126"/>
        <v>00</v>
      </c>
      <c r="F497" t="str">
        <f>"001"</f>
        <v>001</v>
      </c>
      <c r="G497">
        <v>5</v>
      </c>
      <c r="H497" t="str">
        <f>"91"</f>
        <v>91</v>
      </c>
      <c r="I497" t="str">
        <f t="shared" si="118"/>
        <v>0</v>
      </c>
      <c r="J497" t="str">
        <f t="shared" si="122"/>
        <v>00</v>
      </c>
      <c r="K497">
        <v>20141030</v>
      </c>
      <c r="L497" t="str">
        <f>"014548"</f>
        <v>014548</v>
      </c>
      <c r="M497" t="str">
        <f>"00790"</f>
        <v>00790</v>
      </c>
      <c r="N497" t="s">
        <v>462</v>
      </c>
      <c r="O497">
        <v>20</v>
      </c>
      <c r="Q497" t="s">
        <v>33</v>
      </c>
      <c r="R497" t="s">
        <v>34</v>
      </c>
      <c r="S497" t="s">
        <v>35</v>
      </c>
      <c r="T497" t="s">
        <v>35</v>
      </c>
      <c r="U497" t="s">
        <v>34</v>
      </c>
      <c r="V497" t="str">
        <f>""</f>
        <v/>
      </c>
      <c r="W497">
        <v>20141029</v>
      </c>
      <c r="X497" t="s">
        <v>275</v>
      </c>
      <c r="Y497" t="s">
        <v>463</v>
      </c>
      <c r="Z497" t="s">
        <v>463</v>
      </c>
      <c r="AA497">
        <v>0</v>
      </c>
      <c r="AB497" t="s">
        <v>142</v>
      </c>
      <c r="AC497" t="s">
        <v>41</v>
      </c>
      <c r="AD497" t="s">
        <v>40</v>
      </c>
      <c r="AE497" t="str">
        <f t="shared" si="125"/>
        <v>10</v>
      </c>
      <c r="AF497" t="s">
        <v>40</v>
      </c>
    </row>
    <row r="498" spans="1:32" x14ac:dyDescent="0.25">
      <c r="A498">
        <v>5</v>
      </c>
      <c r="B498">
        <v>420</v>
      </c>
      <c r="C498" t="str">
        <f t="shared" ref="C498:C504" si="127">"00"</f>
        <v>00</v>
      </c>
      <c r="D498">
        <v>2153</v>
      </c>
      <c r="E498" t="str">
        <f t="shared" si="126"/>
        <v>00</v>
      </c>
      <c r="F498" t="str">
        <f>"005"</f>
        <v>005</v>
      </c>
      <c r="G498">
        <v>5</v>
      </c>
      <c r="H498" t="str">
        <f t="shared" ref="H498:H504" si="128">"00"</f>
        <v>00</v>
      </c>
      <c r="I498" t="str">
        <f t="shared" si="118"/>
        <v>0</v>
      </c>
      <c r="J498" t="str">
        <f t="shared" si="122"/>
        <v>00</v>
      </c>
      <c r="K498">
        <v>20141031</v>
      </c>
      <c r="L498" t="str">
        <f>"014549"</f>
        <v>014549</v>
      </c>
      <c r="M498" t="str">
        <f>"00226"</f>
        <v>00226</v>
      </c>
      <c r="N498" t="s">
        <v>286</v>
      </c>
      <c r="O498">
        <v>866.16</v>
      </c>
      <c r="Q498" t="s">
        <v>33</v>
      </c>
      <c r="R498" t="s">
        <v>34</v>
      </c>
      <c r="S498" t="s">
        <v>35</v>
      </c>
      <c r="T498" t="s">
        <v>35</v>
      </c>
      <c r="U498" t="s">
        <v>34</v>
      </c>
      <c r="V498" t="str">
        <f>""</f>
        <v/>
      </c>
      <c r="W498">
        <v>20141031</v>
      </c>
      <c r="X498" t="s">
        <v>287</v>
      </c>
      <c r="Y498" t="s">
        <v>464</v>
      </c>
      <c r="Z498" t="s">
        <v>464</v>
      </c>
      <c r="AA498">
        <v>0</v>
      </c>
      <c r="AB498" t="s">
        <v>142</v>
      </c>
      <c r="AC498" t="s">
        <v>288</v>
      </c>
      <c r="AD498" t="s">
        <v>144</v>
      </c>
      <c r="AE498" t="str">
        <f t="shared" si="125"/>
        <v>10</v>
      </c>
      <c r="AF498" t="s">
        <v>40</v>
      </c>
    </row>
    <row r="499" spans="1:32" x14ac:dyDescent="0.25">
      <c r="A499">
        <v>5</v>
      </c>
      <c r="B499">
        <v>420</v>
      </c>
      <c r="C499" t="str">
        <f t="shared" si="127"/>
        <v>00</v>
      </c>
      <c r="D499">
        <v>2153</v>
      </c>
      <c r="E499" t="str">
        <f t="shared" si="126"/>
        <v>00</v>
      </c>
      <c r="F499" t="str">
        <f>"006"</f>
        <v>006</v>
      </c>
      <c r="G499">
        <v>5</v>
      </c>
      <c r="H499" t="str">
        <f t="shared" si="128"/>
        <v>00</v>
      </c>
      <c r="I499" t="str">
        <f t="shared" si="118"/>
        <v>0</v>
      </c>
      <c r="J499" t="str">
        <f t="shared" si="122"/>
        <v>00</v>
      </c>
      <c r="K499">
        <v>20141031</v>
      </c>
      <c r="L499" t="str">
        <f>"014549"</f>
        <v>014549</v>
      </c>
      <c r="M499" t="str">
        <f>"00226"</f>
        <v>00226</v>
      </c>
      <c r="N499" t="s">
        <v>286</v>
      </c>
      <c r="O499">
        <v>147.19999999999999</v>
      </c>
      <c r="Q499" t="s">
        <v>33</v>
      </c>
      <c r="R499" t="s">
        <v>34</v>
      </c>
      <c r="S499" t="s">
        <v>35</v>
      </c>
      <c r="T499" t="s">
        <v>35</v>
      </c>
      <c r="U499" t="s">
        <v>34</v>
      </c>
      <c r="V499" t="str">
        <f>""</f>
        <v/>
      </c>
      <c r="W499">
        <v>20141031</v>
      </c>
      <c r="X499" t="s">
        <v>289</v>
      </c>
      <c r="Y499" t="s">
        <v>464</v>
      </c>
      <c r="Z499" t="s">
        <v>464</v>
      </c>
      <c r="AA499">
        <v>0</v>
      </c>
      <c r="AB499" t="s">
        <v>142</v>
      </c>
      <c r="AC499" t="s">
        <v>290</v>
      </c>
      <c r="AD499" t="s">
        <v>144</v>
      </c>
      <c r="AE499" t="str">
        <f t="shared" si="125"/>
        <v>10</v>
      </c>
      <c r="AF499" t="s">
        <v>40</v>
      </c>
    </row>
    <row r="500" spans="1:32" x14ac:dyDescent="0.25">
      <c r="A500">
        <v>5</v>
      </c>
      <c r="B500">
        <v>420</v>
      </c>
      <c r="C500" t="str">
        <f t="shared" si="127"/>
        <v>00</v>
      </c>
      <c r="D500">
        <v>2159</v>
      </c>
      <c r="E500" t="str">
        <f t="shared" si="126"/>
        <v>00</v>
      </c>
      <c r="F500" t="str">
        <f>"021"</f>
        <v>021</v>
      </c>
      <c r="G500">
        <v>5</v>
      </c>
      <c r="H500" t="str">
        <f t="shared" si="128"/>
        <v>00</v>
      </c>
      <c r="I500" t="str">
        <f t="shared" si="118"/>
        <v>0</v>
      </c>
      <c r="J500" t="str">
        <f t="shared" si="122"/>
        <v>00</v>
      </c>
      <c r="K500">
        <v>20141031</v>
      </c>
      <c r="L500" t="str">
        <f>"014550"</f>
        <v>014550</v>
      </c>
      <c r="M500" t="str">
        <f>"00291"</f>
        <v>00291</v>
      </c>
      <c r="N500" t="s">
        <v>291</v>
      </c>
      <c r="O500" s="1">
        <v>1250</v>
      </c>
      <c r="Q500" t="s">
        <v>33</v>
      </c>
      <c r="R500" t="s">
        <v>34</v>
      </c>
      <c r="S500" t="s">
        <v>35</v>
      </c>
      <c r="T500" t="s">
        <v>35</v>
      </c>
      <c r="U500" t="s">
        <v>34</v>
      </c>
      <c r="V500" t="str">
        <f>""</f>
        <v/>
      </c>
      <c r="W500">
        <v>20141031</v>
      </c>
      <c r="X500" t="s">
        <v>292</v>
      </c>
      <c r="Y500" t="s">
        <v>465</v>
      </c>
      <c r="Z500" t="s">
        <v>465</v>
      </c>
      <c r="AA500">
        <v>0</v>
      </c>
      <c r="AB500" t="s">
        <v>142</v>
      </c>
      <c r="AC500" t="s">
        <v>294</v>
      </c>
      <c r="AD500" t="s">
        <v>144</v>
      </c>
      <c r="AE500" t="str">
        <f t="shared" si="125"/>
        <v>10</v>
      </c>
      <c r="AF500" t="s">
        <v>40</v>
      </c>
    </row>
    <row r="501" spans="1:32" x14ac:dyDescent="0.25">
      <c r="A501">
        <v>5</v>
      </c>
      <c r="B501">
        <v>420</v>
      </c>
      <c r="C501" t="str">
        <f t="shared" si="127"/>
        <v>00</v>
      </c>
      <c r="D501">
        <v>2159</v>
      </c>
      <c r="E501" t="str">
        <f t="shared" si="126"/>
        <v>00</v>
      </c>
      <c r="F501" t="str">
        <f>"150"</f>
        <v>150</v>
      </c>
      <c r="G501">
        <v>5</v>
      </c>
      <c r="H501" t="str">
        <f t="shared" si="128"/>
        <v>00</v>
      </c>
      <c r="I501" t="str">
        <f t="shared" si="118"/>
        <v>0</v>
      </c>
      <c r="J501" t="str">
        <f t="shared" si="122"/>
        <v>00</v>
      </c>
      <c r="K501">
        <v>20141031</v>
      </c>
      <c r="L501" t="str">
        <f>"014551"</f>
        <v>014551</v>
      </c>
      <c r="M501" t="str">
        <f>"00355"</f>
        <v>00355</v>
      </c>
      <c r="N501" t="s">
        <v>295</v>
      </c>
      <c r="O501">
        <v>417.16</v>
      </c>
      <c r="Q501" t="s">
        <v>33</v>
      </c>
      <c r="R501" t="s">
        <v>34</v>
      </c>
      <c r="S501" t="s">
        <v>35</v>
      </c>
      <c r="T501" t="s">
        <v>35</v>
      </c>
      <c r="U501" t="s">
        <v>34</v>
      </c>
      <c r="V501" t="str">
        <f>""</f>
        <v/>
      </c>
      <c r="W501">
        <v>20141031</v>
      </c>
      <c r="X501" t="s">
        <v>296</v>
      </c>
      <c r="Y501" t="s">
        <v>465</v>
      </c>
      <c r="Z501" t="s">
        <v>465</v>
      </c>
      <c r="AA501">
        <v>0</v>
      </c>
      <c r="AB501" t="s">
        <v>142</v>
      </c>
      <c r="AC501" t="s">
        <v>297</v>
      </c>
      <c r="AD501" t="s">
        <v>144</v>
      </c>
      <c r="AE501" t="str">
        <f t="shared" si="125"/>
        <v>10</v>
      </c>
      <c r="AF501" t="s">
        <v>40</v>
      </c>
    </row>
    <row r="502" spans="1:32" x14ac:dyDescent="0.25">
      <c r="A502">
        <v>5</v>
      </c>
      <c r="B502">
        <v>420</v>
      </c>
      <c r="C502" t="str">
        <f t="shared" si="127"/>
        <v>00</v>
      </c>
      <c r="D502">
        <v>2159</v>
      </c>
      <c r="E502" t="str">
        <f t="shared" si="126"/>
        <v>00</v>
      </c>
      <c r="F502" t="str">
        <f>"154"</f>
        <v>154</v>
      </c>
      <c r="G502">
        <v>5</v>
      </c>
      <c r="H502" t="str">
        <f t="shared" si="128"/>
        <v>00</v>
      </c>
      <c r="I502" t="str">
        <f t="shared" si="118"/>
        <v>0</v>
      </c>
      <c r="J502" t="str">
        <f t="shared" si="122"/>
        <v>00</v>
      </c>
      <c r="K502">
        <v>20141031</v>
      </c>
      <c r="L502" t="str">
        <f>"014552"</f>
        <v>014552</v>
      </c>
      <c r="M502" t="str">
        <f>"00684"</f>
        <v>00684</v>
      </c>
      <c r="N502" t="s">
        <v>466</v>
      </c>
      <c r="O502">
        <v>680</v>
      </c>
      <c r="Q502" t="s">
        <v>33</v>
      </c>
      <c r="R502" t="s">
        <v>34</v>
      </c>
      <c r="S502" t="s">
        <v>35</v>
      </c>
      <c r="T502" t="s">
        <v>35</v>
      </c>
      <c r="U502" t="s">
        <v>34</v>
      </c>
      <c r="V502" t="str">
        <f>""</f>
        <v/>
      </c>
      <c r="W502">
        <v>20141031</v>
      </c>
      <c r="X502" t="s">
        <v>467</v>
      </c>
      <c r="Y502" t="s">
        <v>465</v>
      </c>
      <c r="Z502" t="s">
        <v>465</v>
      </c>
      <c r="AA502">
        <v>0</v>
      </c>
      <c r="AB502" t="s">
        <v>142</v>
      </c>
      <c r="AC502" t="s">
        <v>468</v>
      </c>
      <c r="AD502" t="s">
        <v>144</v>
      </c>
      <c r="AE502" t="str">
        <f t="shared" si="125"/>
        <v>10</v>
      </c>
      <c r="AF502" t="s">
        <v>40</v>
      </c>
    </row>
    <row r="503" spans="1:32" x14ac:dyDescent="0.25">
      <c r="A503">
        <v>5</v>
      </c>
      <c r="B503">
        <v>420</v>
      </c>
      <c r="C503" t="str">
        <f t="shared" si="127"/>
        <v>00</v>
      </c>
      <c r="D503">
        <v>2159</v>
      </c>
      <c r="E503" t="str">
        <f t="shared" si="126"/>
        <v>00</v>
      </c>
      <c r="F503" t="str">
        <f>"158"</f>
        <v>158</v>
      </c>
      <c r="G503">
        <v>5</v>
      </c>
      <c r="H503" t="str">
        <f t="shared" si="128"/>
        <v>00</v>
      </c>
      <c r="I503" t="str">
        <f t="shared" si="118"/>
        <v>0</v>
      </c>
      <c r="J503" t="str">
        <f t="shared" si="122"/>
        <v>00</v>
      </c>
      <c r="K503">
        <v>20141031</v>
      </c>
      <c r="L503" t="str">
        <f>"014553"</f>
        <v>014553</v>
      </c>
      <c r="M503" t="str">
        <f>"00773"</f>
        <v>00773</v>
      </c>
      <c r="N503" t="s">
        <v>298</v>
      </c>
      <c r="O503">
        <v>25</v>
      </c>
      <c r="Q503" t="s">
        <v>33</v>
      </c>
      <c r="R503" t="s">
        <v>34</v>
      </c>
      <c r="S503" t="s">
        <v>35</v>
      </c>
      <c r="T503" t="s">
        <v>35</v>
      </c>
      <c r="U503" t="s">
        <v>34</v>
      </c>
      <c r="V503" t="str">
        <f>""</f>
        <v/>
      </c>
      <c r="W503">
        <v>20141031</v>
      </c>
      <c r="X503" t="s">
        <v>299</v>
      </c>
      <c r="Y503" t="s">
        <v>465</v>
      </c>
      <c r="Z503" t="s">
        <v>465</v>
      </c>
      <c r="AA503">
        <v>0</v>
      </c>
      <c r="AB503" t="s">
        <v>142</v>
      </c>
      <c r="AC503" t="s">
        <v>298</v>
      </c>
      <c r="AD503" t="s">
        <v>144</v>
      </c>
      <c r="AE503" t="str">
        <f t="shared" si="125"/>
        <v>10</v>
      </c>
      <c r="AF503" t="s">
        <v>40</v>
      </c>
    </row>
    <row r="504" spans="1:32" x14ac:dyDescent="0.25">
      <c r="A504">
        <v>5</v>
      </c>
      <c r="B504">
        <v>420</v>
      </c>
      <c r="C504" t="str">
        <f t="shared" si="127"/>
        <v>00</v>
      </c>
      <c r="D504">
        <v>2159</v>
      </c>
      <c r="E504" t="str">
        <f t="shared" si="126"/>
        <v>00</v>
      </c>
      <c r="F504" t="str">
        <f>"164"</f>
        <v>164</v>
      </c>
      <c r="G504">
        <v>5</v>
      </c>
      <c r="H504" t="str">
        <f t="shared" si="128"/>
        <v>00</v>
      </c>
      <c r="I504" t="str">
        <f t="shared" si="118"/>
        <v>0</v>
      </c>
      <c r="J504" t="str">
        <f t="shared" si="122"/>
        <v>00</v>
      </c>
      <c r="K504">
        <v>20141031</v>
      </c>
      <c r="L504" t="str">
        <f>"014554"</f>
        <v>014554</v>
      </c>
      <c r="M504" t="str">
        <f>"00787"</f>
        <v>00787</v>
      </c>
      <c r="N504" t="s">
        <v>469</v>
      </c>
      <c r="O504">
        <v>225</v>
      </c>
      <c r="Q504" t="s">
        <v>33</v>
      </c>
      <c r="R504" t="s">
        <v>34</v>
      </c>
      <c r="S504" t="s">
        <v>35</v>
      </c>
      <c r="T504" t="s">
        <v>35</v>
      </c>
      <c r="U504" t="s">
        <v>34</v>
      </c>
      <c r="V504" t="str">
        <f>""</f>
        <v/>
      </c>
      <c r="W504">
        <v>20141031</v>
      </c>
      <c r="X504" t="s">
        <v>470</v>
      </c>
      <c r="Y504" t="s">
        <v>471</v>
      </c>
      <c r="Z504" t="s">
        <v>471</v>
      </c>
      <c r="AA504">
        <v>0</v>
      </c>
      <c r="AB504" t="s">
        <v>142</v>
      </c>
      <c r="AC504" t="s">
        <v>472</v>
      </c>
      <c r="AD504" t="s">
        <v>144</v>
      </c>
      <c r="AE504" t="str">
        <f t="shared" si="125"/>
        <v>10</v>
      </c>
      <c r="AF504" t="s">
        <v>40</v>
      </c>
    </row>
    <row r="505" spans="1:32" x14ac:dyDescent="0.25">
      <c r="A505">
        <v>5</v>
      </c>
      <c r="B505">
        <v>240</v>
      </c>
      <c r="C505" t="str">
        <f>"35"</f>
        <v>35</v>
      </c>
      <c r="D505">
        <v>6399</v>
      </c>
      <c r="E505" t="str">
        <f t="shared" si="126"/>
        <v>00</v>
      </c>
      <c r="F505" t="str">
        <f t="shared" ref="F505:F521" si="129">"999"</f>
        <v>999</v>
      </c>
      <c r="G505">
        <v>5</v>
      </c>
      <c r="H505" t="str">
        <f>"99"</f>
        <v>99</v>
      </c>
      <c r="I505" t="str">
        <f t="shared" si="118"/>
        <v>0</v>
      </c>
      <c r="J505" t="str">
        <f t="shared" si="122"/>
        <v>00</v>
      </c>
      <c r="K505">
        <v>20141107</v>
      </c>
      <c r="L505" t="str">
        <f>"014555"</f>
        <v>014555</v>
      </c>
      <c r="M505" t="str">
        <f>"00628"</f>
        <v>00628</v>
      </c>
      <c r="N505" t="s">
        <v>212</v>
      </c>
      <c r="O505" s="1">
        <v>1550</v>
      </c>
      <c r="Q505" t="s">
        <v>33</v>
      </c>
      <c r="R505" t="s">
        <v>34</v>
      </c>
      <c r="S505" t="s">
        <v>35</v>
      </c>
      <c r="T505" t="s">
        <v>35</v>
      </c>
      <c r="U505" t="s">
        <v>34</v>
      </c>
      <c r="V505" t="str">
        <f>""</f>
        <v/>
      </c>
      <c r="W505">
        <v>20141107</v>
      </c>
      <c r="X505" t="s">
        <v>473</v>
      </c>
      <c r="Y505" t="s">
        <v>333</v>
      </c>
      <c r="Z505" t="s">
        <v>333</v>
      </c>
      <c r="AA505">
        <v>0</v>
      </c>
      <c r="AB505" t="s">
        <v>238</v>
      </c>
      <c r="AC505" t="s">
        <v>143</v>
      </c>
      <c r="AD505" t="s">
        <v>40</v>
      </c>
      <c r="AE505" t="str">
        <f t="shared" ref="AE505:AE536" si="130">"11"</f>
        <v>11</v>
      </c>
      <c r="AF505" t="s">
        <v>40</v>
      </c>
    </row>
    <row r="506" spans="1:32" x14ac:dyDescent="0.25">
      <c r="A506">
        <v>5</v>
      </c>
      <c r="B506">
        <v>420</v>
      </c>
      <c r="C506" t="str">
        <f>"11"</f>
        <v>11</v>
      </c>
      <c r="D506">
        <v>6269</v>
      </c>
      <c r="E506" t="str">
        <f t="shared" si="126"/>
        <v>00</v>
      </c>
      <c r="F506" t="str">
        <f t="shared" si="129"/>
        <v>999</v>
      </c>
      <c r="G506">
        <v>5</v>
      </c>
      <c r="H506" t="str">
        <f>"11"</f>
        <v>11</v>
      </c>
      <c r="I506" t="str">
        <f t="shared" si="118"/>
        <v>0</v>
      </c>
      <c r="J506" t="str">
        <f t="shared" si="122"/>
        <v>00</v>
      </c>
      <c r="K506">
        <v>20141107</v>
      </c>
      <c r="L506" t="str">
        <f>"014555"</f>
        <v>014555</v>
      </c>
      <c r="M506" t="str">
        <f>"00628"</f>
        <v>00628</v>
      </c>
      <c r="N506" t="s">
        <v>212</v>
      </c>
      <c r="O506">
        <v>580.33000000000004</v>
      </c>
      <c r="Q506" t="s">
        <v>33</v>
      </c>
      <c r="R506" t="s">
        <v>34</v>
      </c>
      <c r="S506" t="s">
        <v>35</v>
      </c>
      <c r="T506" t="s">
        <v>35</v>
      </c>
      <c r="U506" t="s">
        <v>34</v>
      </c>
      <c r="V506" t="str">
        <f>""</f>
        <v/>
      </c>
      <c r="W506">
        <v>20141106</v>
      </c>
      <c r="X506" t="s">
        <v>213</v>
      </c>
      <c r="Y506" t="s">
        <v>214</v>
      </c>
      <c r="Z506" t="s">
        <v>214</v>
      </c>
      <c r="AA506">
        <v>0</v>
      </c>
      <c r="AB506" t="s">
        <v>142</v>
      </c>
      <c r="AC506" t="s">
        <v>143</v>
      </c>
      <c r="AD506" t="s">
        <v>40</v>
      </c>
      <c r="AE506" t="str">
        <f t="shared" si="130"/>
        <v>11</v>
      </c>
      <c r="AF506" t="s">
        <v>40</v>
      </c>
    </row>
    <row r="507" spans="1:32" x14ac:dyDescent="0.25">
      <c r="A507">
        <v>5</v>
      </c>
      <c r="B507">
        <v>420</v>
      </c>
      <c r="C507" t="str">
        <f>"33"</f>
        <v>33</v>
      </c>
      <c r="D507">
        <v>6219</v>
      </c>
      <c r="E507" t="str">
        <f t="shared" si="126"/>
        <v>00</v>
      </c>
      <c r="F507" t="str">
        <f t="shared" si="129"/>
        <v>999</v>
      </c>
      <c r="G507">
        <v>5</v>
      </c>
      <c r="H507" t="str">
        <f>"99"</f>
        <v>99</v>
      </c>
      <c r="I507" t="str">
        <f t="shared" si="118"/>
        <v>0</v>
      </c>
      <c r="J507" t="str">
        <f t="shared" si="122"/>
        <v>00</v>
      </c>
      <c r="K507">
        <v>20141107</v>
      </c>
      <c r="L507" t="str">
        <f>"014556"</f>
        <v>014556</v>
      </c>
      <c r="M507" t="str">
        <f>"00020"</f>
        <v>00020</v>
      </c>
      <c r="N507" t="s">
        <v>474</v>
      </c>
      <c r="O507">
        <v>135</v>
      </c>
      <c r="Q507" t="s">
        <v>33</v>
      </c>
      <c r="R507" t="s">
        <v>34</v>
      </c>
      <c r="S507" t="s">
        <v>35</v>
      </c>
      <c r="T507" t="s">
        <v>35</v>
      </c>
      <c r="U507" t="s">
        <v>34</v>
      </c>
      <c r="V507" t="str">
        <f>""</f>
        <v/>
      </c>
      <c r="W507">
        <v>20141106</v>
      </c>
      <c r="X507" t="s">
        <v>233</v>
      </c>
      <c r="Y507" t="s">
        <v>475</v>
      </c>
      <c r="Z507" t="s">
        <v>475</v>
      </c>
      <c r="AA507">
        <v>0</v>
      </c>
      <c r="AB507" t="s">
        <v>142</v>
      </c>
      <c r="AC507" t="s">
        <v>143</v>
      </c>
      <c r="AD507" t="s">
        <v>40</v>
      </c>
      <c r="AE507" t="str">
        <f t="shared" si="130"/>
        <v>11</v>
      </c>
      <c r="AF507" t="s">
        <v>40</v>
      </c>
    </row>
    <row r="508" spans="1:32" x14ac:dyDescent="0.25">
      <c r="A508">
        <v>5</v>
      </c>
      <c r="B508">
        <v>420</v>
      </c>
      <c r="C508" t="str">
        <f>"52"</f>
        <v>52</v>
      </c>
      <c r="D508">
        <v>6219</v>
      </c>
      <c r="E508" t="str">
        <f t="shared" si="126"/>
        <v>00</v>
      </c>
      <c r="F508" t="str">
        <f t="shared" si="129"/>
        <v>999</v>
      </c>
      <c r="G508">
        <v>5</v>
      </c>
      <c r="H508" t="str">
        <f>"99"</f>
        <v>99</v>
      </c>
      <c r="I508" t="str">
        <f t="shared" si="118"/>
        <v>0</v>
      </c>
      <c r="J508" t="str">
        <f t="shared" si="122"/>
        <v>00</v>
      </c>
      <c r="K508">
        <v>20141107</v>
      </c>
      <c r="L508" t="str">
        <f>"014557"</f>
        <v>014557</v>
      </c>
      <c r="M508" t="str">
        <f>"00392"</f>
        <v>00392</v>
      </c>
      <c r="N508" t="s">
        <v>218</v>
      </c>
      <c r="O508">
        <v>35.950000000000003</v>
      </c>
      <c r="Q508" t="s">
        <v>33</v>
      </c>
      <c r="R508" t="s">
        <v>34</v>
      </c>
      <c r="S508" t="s">
        <v>35</v>
      </c>
      <c r="T508" t="s">
        <v>35</v>
      </c>
      <c r="U508" t="s">
        <v>34</v>
      </c>
      <c r="V508" t="str">
        <f>""</f>
        <v/>
      </c>
      <c r="W508">
        <v>20141107</v>
      </c>
      <c r="X508" t="s">
        <v>208</v>
      </c>
      <c r="Y508" t="s">
        <v>219</v>
      </c>
      <c r="Z508" t="s">
        <v>219</v>
      </c>
      <c r="AA508">
        <v>0</v>
      </c>
      <c r="AB508" t="s">
        <v>142</v>
      </c>
      <c r="AC508" t="s">
        <v>143</v>
      </c>
      <c r="AD508" t="s">
        <v>40</v>
      </c>
      <c r="AE508" t="str">
        <f t="shared" si="130"/>
        <v>11</v>
      </c>
      <c r="AF508" t="s">
        <v>40</v>
      </c>
    </row>
    <row r="509" spans="1:32" x14ac:dyDescent="0.25">
      <c r="A509">
        <v>5</v>
      </c>
      <c r="B509">
        <v>420</v>
      </c>
      <c r="C509" t="str">
        <f>"61"</f>
        <v>61</v>
      </c>
      <c r="D509">
        <v>6219</v>
      </c>
      <c r="E509" t="str">
        <f t="shared" si="126"/>
        <v>00</v>
      </c>
      <c r="F509" t="str">
        <f t="shared" si="129"/>
        <v>999</v>
      </c>
      <c r="G509">
        <v>5</v>
      </c>
      <c r="H509" t="str">
        <f>"11"</f>
        <v>11</v>
      </c>
      <c r="I509" t="str">
        <f t="shared" si="118"/>
        <v>0</v>
      </c>
      <c r="J509" t="str">
        <f t="shared" si="122"/>
        <v>00</v>
      </c>
      <c r="K509">
        <v>20141107</v>
      </c>
      <c r="L509" t="str">
        <f>"014558"</f>
        <v>014558</v>
      </c>
      <c r="M509" t="str">
        <f>"00566"</f>
        <v>00566</v>
      </c>
      <c r="N509" t="s">
        <v>221</v>
      </c>
      <c r="O509">
        <v>67</v>
      </c>
      <c r="Q509" t="s">
        <v>33</v>
      </c>
      <c r="R509" t="s">
        <v>34</v>
      </c>
      <c r="S509" t="s">
        <v>35</v>
      </c>
      <c r="T509" t="s">
        <v>35</v>
      </c>
      <c r="U509" t="s">
        <v>34</v>
      </c>
      <c r="V509" t="str">
        <f>""</f>
        <v/>
      </c>
      <c r="W509">
        <v>20141106</v>
      </c>
      <c r="X509" t="s">
        <v>222</v>
      </c>
      <c r="Y509" t="s">
        <v>223</v>
      </c>
      <c r="Z509" t="s">
        <v>223</v>
      </c>
      <c r="AA509">
        <v>0</v>
      </c>
      <c r="AB509" t="s">
        <v>142</v>
      </c>
      <c r="AC509" t="s">
        <v>143</v>
      </c>
      <c r="AD509" t="s">
        <v>40</v>
      </c>
      <c r="AE509" t="str">
        <f t="shared" si="130"/>
        <v>11</v>
      </c>
      <c r="AF509" t="s">
        <v>40</v>
      </c>
    </row>
    <row r="510" spans="1:32" x14ac:dyDescent="0.25">
      <c r="A510">
        <v>5</v>
      </c>
      <c r="B510">
        <v>420</v>
      </c>
      <c r="C510" t="str">
        <f>"52"</f>
        <v>52</v>
      </c>
      <c r="D510">
        <v>6219</v>
      </c>
      <c r="E510" t="str">
        <f t="shared" si="126"/>
        <v>00</v>
      </c>
      <c r="F510" t="str">
        <f t="shared" si="129"/>
        <v>999</v>
      </c>
      <c r="G510">
        <v>5</v>
      </c>
      <c r="H510" t="str">
        <f t="shared" ref="H510:H521" si="131">"99"</f>
        <v>99</v>
      </c>
      <c r="I510" t="str">
        <f t="shared" si="118"/>
        <v>0</v>
      </c>
      <c r="J510" t="str">
        <f t="shared" si="122"/>
        <v>00</v>
      </c>
      <c r="K510">
        <v>20141107</v>
      </c>
      <c r="L510" t="str">
        <f>"014559"</f>
        <v>014559</v>
      </c>
      <c r="M510" t="str">
        <f>"00587"</f>
        <v>00587</v>
      </c>
      <c r="N510" t="s">
        <v>343</v>
      </c>
      <c r="O510">
        <v>94.9</v>
      </c>
      <c r="Q510" t="s">
        <v>33</v>
      </c>
      <c r="R510" t="s">
        <v>34</v>
      </c>
      <c r="S510" t="s">
        <v>35</v>
      </c>
      <c r="T510" t="s">
        <v>35</v>
      </c>
      <c r="U510" t="s">
        <v>34</v>
      </c>
      <c r="V510" t="str">
        <f>""</f>
        <v/>
      </c>
      <c r="W510">
        <v>20141106</v>
      </c>
      <c r="X510" t="s">
        <v>208</v>
      </c>
      <c r="Y510" t="s">
        <v>344</v>
      </c>
      <c r="Z510" t="s">
        <v>344</v>
      </c>
      <c r="AA510">
        <v>0</v>
      </c>
      <c r="AB510" t="s">
        <v>142</v>
      </c>
      <c r="AC510" t="s">
        <v>143</v>
      </c>
      <c r="AD510" t="s">
        <v>40</v>
      </c>
      <c r="AE510" t="str">
        <f t="shared" si="130"/>
        <v>11</v>
      </c>
      <c r="AF510" t="s">
        <v>40</v>
      </c>
    </row>
    <row r="511" spans="1:32" x14ac:dyDescent="0.25">
      <c r="A511">
        <v>5</v>
      </c>
      <c r="B511">
        <v>240</v>
      </c>
      <c r="C511" t="str">
        <f t="shared" ref="C511:C519" si="132">"35"</f>
        <v>35</v>
      </c>
      <c r="D511">
        <v>6341</v>
      </c>
      <c r="E511" t="str">
        <f t="shared" si="126"/>
        <v>00</v>
      </c>
      <c r="F511" t="str">
        <f t="shared" si="129"/>
        <v>999</v>
      </c>
      <c r="G511">
        <v>5</v>
      </c>
      <c r="H511" t="str">
        <f t="shared" si="131"/>
        <v>99</v>
      </c>
      <c r="I511" t="str">
        <f t="shared" si="118"/>
        <v>0</v>
      </c>
      <c r="J511" t="str">
        <f t="shared" si="122"/>
        <v>00</v>
      </c>
      <c r="K511">
        <v>20141107</v>
      </c>
      <c r="L511" t="str">
        <f t="shared" ref="L511:L518" si="133">"014560"</f>
        <v>014560</v>
      </c>
      <c r="M511" t="str">
        <f t="shared" ref="M511:M518" si="134">"00410"</f>
        <v>00410</v>
      </c>
      <c r="N511" t="s">
        <v>324</v>
      </c>
      <c r="O511">
        <v>543.4</v>
      </c>
      <c r="Q511" t="s">
        <v>33</v>
      </c>
      <c r="R511" t="s">
        <v>34</v>
      </c>
      <c r="S511" t="s">
        <v>35</v>
      </c>
      <c r="T511" t="s">
        <v>35</v>
      </c>
      <c r="U511" t="s">
        <v>34</v>
      </c>
      <c r="V511" t="str">
        <f>""</f>
        <v/>
      </c>
      <c r="W511">
        <v>20141106</v>
      </c>
      <c r="X511" t="s">
        <v>268</v>
      </c>
      <c r="Y511" t="s">
        <v>310</v>
      </c>
      <c r="Z511" t="s">
        <v>310</v>
      </c>
      <c r="AA511">
        <v>0</v>
      </c>
      <c r="AB511" t="s">
        <v>238</v>
      </c>
      <c r="AC511" t="s">
        <v>143</v>
      </c>
      <c r="AD511" t="s">
        <v>40</v>
      </c>
      <c r="AE511" t="str">
        <f t="shared" si="130"/>
        <v>11</v>
      </c>
      <c r="AF511" t="s">
        <v>40</v>
      </c>
    </row>
    <row r="512" spans="1:32" x14ac:dyDescent="0.25">
      <c r="A512">
        <v>5</v>
      </c>
      <c r="B512">
        <v>240</v>
      </c>
      <c r="C512" t="str">
        <f t="shared" si="132"/>
        <v>35</v>
      </c>
      <c r="D512">
        <v>6341</v>
      </c>
      <c r="E512" t="str">
        <f t="shared" si="126"/>
        <v>00</v>
      </c>
      <c r="F512" t="str">
        <f t="shared" si="129"/>
        <v>999</v>
      </c>
      <c r="G512">
        <v>5</v>
      </c>
      <c r="H512" t="str">
        <f t="shared" si="131"/>
        <v>99</v>
      </c>
      <c r="I512" t="str">
        <f t="shared" si="118"/>
        <v>0</v>
      </c>
      <c r="J512" t="str">
        <f t="shared" si="122"/>
        <v>00</v>
      </c>
      <c r="K512">
        <v>20141107</v>
      </c>
      <c r="L512" t="str">
        <f t="shared" si="133"/>
        <v>014560</v>
      </c>
      <c r="M512" t="str">
        <f t="shared" si="134"/>
        <v>00410</v>
      </c>
      <c r="N512" t="s">
        <v>324</v>
      </c>
      <c r="O512">
        <v>370.5</v>
      </c>
      <c r="Q512" t="s">
        <v>33</v>
      </c>
      <c r="R512" t="s">
        <v>34</v>
      </c>
      <c r="S512" t="s">
        <v>35</v>
      </c>
      <c r="T512" t="s">
        <v>35</v>
      </c>
      <c r="U512" t="s">
        <v>34</v>
      </c>
      <c r="V512" t="str">
        <f>""</f>
        <v/>
      </c>
      <c r="W512">
        <v>20141106</v>
      </c>
      <c r="X512" t="s">
        <v>268</v>
      </c>
      <c r="Y512" t="s">
        <v>310</v>
      </c>
      <c r="Z512" t="s">
        <v>310</v>
      </c>
      <c r="AA512">
        <v>0</v>
      </c>
      <c r="AB512" t="s">
        <v>238</v>
      </c>
      <c r="AC512" t="s">
        <v>143</v>
      </c>
      <c r="AD512" t="s">
        <v>40</v>
      </c>
      <c r="AE512" t="str">
        <f t="shared" si="130"/>
        <v>11</v>
      </c>
      <c r="AF512" t="s">
        <v>40</v>
      </c>
    </row>
    <row r="513" spans="1:32" x14ac:dyDescent="0.25">
      <c r="A513">
        <v>5</v>
      </c>
      <c r="B513">
        <v>240</v>
      </c>
      <c r="C513" t="str">
        <f t="shared" si="132"/>
        <v>35</v>
      </c>
      <c r="D513">
        <v>6341</v>
      </c>
      <c r="E513" t="str">
        <f t="shared" si="126"/>
        <v>00</v>
      </c>
      <c r="F513" t="str">
        <f t="shared" si="129"/>
        <v>999</v>
      </c>
      <c r="G513">
        <v>5</v>
      </c>
      <c r="H513" t="str">
        <f t="shared" si="131"/>
        <v>99</v>
      </c>
      <c r="I513" t="str">
        <f t="shared" si="118"/>
        <v>0</v>
      </c>
      <c r="J513" t="str">
        <f t="shared" si="122"/>
        <v>00</v>
      </c>
      <c r="K513">
        <v>20141107</v>
      </c>
      <c r="L513" t="str">
        <f t="shared" si="133"/>
        <v>014560</v>
      </c>
      <c r="M513" t="str">
        <f t="shared" si="134"/>
        <v>00410</v>
      </c>
      <c r="N513" t="s">
        <v>324</v>
      </c>
      <c r="O513">
        <v>358.15</v>
      </c>
      <c r="Q513" t="s">
        <v>33</v>
      </c>
      <c r="R513" t="s">
        <v>34</v>
      </c>
      <c r="S513" t="s">
        <v>35</v>
      </c>
      <c r="T513" t="s">
        <v>35</v>
      </c>
      <c r="U513" t="s">
        <v>34</v>
      </c>
      <c r="V513" t="str">
        <f>""</f>
        <v/>
      </c>
      <c r="W513">
        <v>20141106</v>
      </c>
      <c r="X513" t="s">
        <v>268</v>
      </c>
      <c r="Y513" t="s">
        <v>310</v>
      </c>
      <c r="Z513" t="s">
        <v>310</v>
      </c>
      <c r="AA513">
        <v>0</v>
      </c>
      <c r="AB513" t="s">
        <v>238</v>
      </c>
      <c r="AC513" t="s">
        <v>143</v>
      </c>
      <c r="AD513" t="s">
        <v>40</v>
      </c>
      <c r="AE513" t="str">
        <f t="shared" si="130"/>
        <v>11</v>
      </c>
      <c r="AF513" t="s">
        <v>40</v>
      </c>
    </row>
    <row r="514" spans="1:32" x14ac:dyDescent="0.25">
      <c r="A514">
        <v>5</v>
      </c>
      <c r="B514">
        <v>240</v>
      </c>
      <c r="C514" t="str">
        <f t="shared" si="132"/>
        <v>35</v>
      </c>
      <c r="D514">
        <v>6341</v>
      </c>
      <c r="E514" t="str">
        <f t="shared" si="126"/>
        <v>00</v>
      </c>
      <c r="F514" t="str">
        <f t="shared" si="129"/>
        <v>999</v>
      </c>
      <c r="G514">
        <v>5</v>
      </c>
      <c r="H514" t="str">
        <f t="shared" si="131"/>
        <v>99</v>
      </c>
      <c r="I514" t="str">
        <f t="shared" ref="I514:I577" si="135">"0"</f>
        <v>0</v>
      </c>
      <c r="J514" t="str">
        <f t="shared" si="122"/>
        <v>00</v>
      </c>
      <c r="K514">
        <v>20141107</v>
      </c>
      <c r="L514" t="str">
        <f t="shared" si="133"/>
        <v>014560</v>
      </c>
      <c r="M514" t="str">
        <f t="shared" si="134"/>
        <v>00410</v>
      </c>
      <c r="N514" t="s">
        <v>324</v>
      </c>
      <c r="O514">
        <v>148.19999999999999</v>
      </c>
      <c r="Q514" t="s">
        <v>33</v>
      </c>
      <c r="R514" t="s">
        <v>34</v>
      </c>
      <c r="S514" t="s">
        <v>35</v>
      </c>
      <c r="T514" t="s">
        <v>35</v>
      </c>
      <c r="U514" t="s">
        <v>34</v>
      </c>
      <c r="V514" t="str">
        <f>""</f>
        <v/>
      </c>
      <c r="W514">
        <v>20141106</v>
      </c>
      <c r="X514" t="s">
        <v>268</v>
      </c>
      <c r="Y514" t="s">
        <v>310</v>
      </c>
      <c r="Z514" t="s">
        <v>310</v>
      </c>
      <c r="AA514">
        <v>0</v>
      </c>
      <c r="AB514" t="s">
        <v>238</v>
      </c>
      <c r="AC514" t="s">
        <v>143</v>
      </c>
      <c r="AD514" t="s">
        <v>40</v>
      </c>
      <c r="AE514" t="str">
        <f t="shared" si="130"/>
        <v>11</v>
      </c>
      <c r="AF514" t="s">
        <v>40</v>
      </c>
    </row>
    <row r="515" spans="1:32" x14ac:dyDescent="0.25">
      <c r="A515">
        <v>5</v>
      </c>
      <c r="B515">
        <v>240</v>
      </c>
      <c r="C515" t="str">
        <f t="shared" si="132"/>
        <v>35</v>
      </c>
      <c r="D515">
        <v>6341</v>
      </c>
      <c r="E515" t="str">
        <f t="shared" si="126"/>
        <v>00</v>
      </c>
      <c r="F515" t="str">
        <f t="shared" si="129"/>
        <v>999</v>
      </c>
      <c r="G515">
        <v>5</v>
      </c>
      <c r="H515" t="str">
        <f t="shared" si="131"/>
        <v>99</v>
      </c>
      <c r="I515" t="str">
        <f t="shared" si="135"/>
        <v>0</v>
      </c>
      <c r="J515" t="str">
        <f t="shared" si="122"/>
        <v>00</v>
      </c>
      <c r="K515">
        <v>20141107</v>
      </c>
      <c r="L515" t="str">
        <f t="shared" si="133"/>
        <v>014560</v>
      </c>
      <c r="M515" t="str">
        <f t="shared" si="134"/>
        <v>00410</v>
      </c>
      <c r="N515" t="s">
        <v>324</v>
      </c>
      <c r="O515">
        <v>469.3</v>
      </c>
      <c r="Q515" t="s">
        <v>33</v>
      </c>
      <c r="R515" t="s">
        <v>34</v>
      </c>
      <c r="S515" t="s">
        <v>35</v>
      </c>
      <c r="T515" t="s">
        <v>35</v>
      </c>
      <c r="U515" t="s">
        <v>34</v>
      </c>
      <c r="V515" t="str">
        <f>""</f>
        <v/>
      </c>
      <c r="W515">
        <v>20141106</v>
      </c>
      <c r="X515" t="s">
        <v>268</v>
      </c>
      <c r="Y515" t="s">
        <v>310</v>
      </c>
      <c r="Z515" t="s">
        <v>310</v>
      </c>
      <c r="AA515">
        <v>0</v>
      </c>
      <c r="AB515" t="s">
        <v>238</v>
      </c>
      <c r="AC515" t="s">
        <v>143</v>
      </c>
      <c r="AD515" t="s">
        <v>40</v>
      </c>
      <c r="AE515" t="str">
        <f t="shared" si="130"/>
        <v>11</v>
      </c>
      <c r="AF515" t="s">
        <v>40</v>
      </c>
    </row>
    <row r="516" spans="1:32" x14ac:dyDescent="0.25">
      <c r="A516">
        <v>5</v>
      </c>
      <c r="B516">
        <v>240</v>
      </c>
      <c r="C516" t="str">
        <f t="shared" si="132"/>
        <v>35</v>
      </c>
      <c r="D516">
        <v>6341</v>
      </c>
      <c r="E516" t="str">
        <f t="shared" si="126"/>
        <v>00</v>
      </c>
      <c r="F516" t="str">
        <f t="shared" si="129"/>
        <v>999</v>
      </c>
      <c r="G516">
        <v>5</v>
      </c>
      <c r="H516" t="str">
        <f t="shared" si="131"/>
        <v>99</v>
      </c>
      <c r="I516" t="str">
        <f t="shared" si="135"/>
        <v>0</v>
      </c>
      <c r="J516" t="str">
        <f t="shared" si="122"/>
        <v>00</v>
      </c>
      <c r="K516">
        <v>20141107</v>
      </c>
      <c r="L516" t="str">
        <f t="shared" si="133"/>
        <v>014560</v>
      </c>
      <c r="M516" t="str">
        <f t="shared" si="134"/>
        <v>00410</v>
      </c>
      <c r="N516" t="s">
        <v>324</v>
      </c>
      <c r="O516">
        <v>419.9</v>
      </c>
      <c r="Q516" t="s">
        <v>33</v>
      </c>
      <c r="R516" t="s">
        <v>34</v>
      </c>
      <c r="S516" t="s">
        <v>35</v>
      </c>
      <c r="T516" t="s">
        <v>35</v>
      </c>
      <c r="U516" t="s">
        <v>34</v>
      </c>
      <c r="V516" t="str">
        <f>""</f>
        <v/>
      </c>
      <c r="W516">
        <v>20141106</v>
      </c>
      <c r="X516" t="s">
        <v>268</v>
      </c>
      <c r="Y516" t="s">
        <v>310</v>
      </c>
      <c r="Z516" t="s">
        <v>310</v>
      </c>
      <c r="AA516">
        <v>0</v>
      </c>
      <c r="AB516" t="s">
        <v>238</v>
      </c>
      <c r="AC516" t="s">
        <v>143</v>
      </c>
      <c r="AD516" t="s">
        <v>40</v>
      </c>
      <c r="AE516" t="str">
        <f t="shared" si="130"/>
        <v>11</v>
      </c>
      <c r="AF516" t="s">
        <v>40</v>
      </c>
    </row>
    <row r="517" spans="1:32" x14ac:dyDescent="0.25">
      <c r="A517">
        <v>5</v>
      </c>
      <c r="B517">
        <v>240</v>
      </c>
      <c r="C517" t="str">
        <f t="shared" si="132"/>
        <v>35</v>
      </c>
      <c r="D517">
        <v>6341</v>
      </c>
      <c r="E517" t="str">
        <f t="shared" si="126"/>
        <v>00</v>
      </c>
      <c r="F517" t="str">
        <f t="shared" si="129"/>
        <v>999</v>
      </c>
      <c r="G517">
        <v>5</v>
      </c>
      <c r="H517" t="str">
        <f t="shared" si="131"/>
        <v>99</v>
      </c>
      <c r="I517" t="str">
        <f t="shared" si="135"/>
        <v>0</v>
      </c>
      <c r="J517" t="str">
        <f t="shared" si="122"/>
        <v>00</v>
      </c>
      <c r="K517">
        <v>20141107</v>
      </c>
      <c r="L517" t="str">
        <f t="shared" si="133"/>
        <v>014560</v>
      </c>
      <c r="M517" t="str">
        <f t="shared" si="134"/>
        <v>00410</v>
      </c>
      <c r="N517" t="s">
        <v>324</v>
      </c>
      <c r="O517">
        <v>506.35</v>
      </c>
      <c r="Q517" t="s">
        <v>33</v>
      </c>
      <c r="R517" t="s">
        <v>34</v>
      </c>
      <c r="S517" t="s">
        <v>35</v>
      </c>
      <c r="T517" t="s">
        <v>35</v>
      </c>
      <c r="U517" t="s">
        <v>34</v>
      </c>
      <c r="V517" t="str">
        <f>""</f>
        <v/>
      </c>
      <c r="W517">
        <v>20141106</v>
      </c>
      <c r="X517" t="s">
        <v>268</v>
      </c>
      <c r="Y517" t="s">
        <v>310</v>
      </c>
      <c r="Z517" t="s">
        <v>310</v>
      </c>
      <c r="AA517">
        <v>0</v>
      </c>
      <c r="AB517" t="s">
        <v>238</v>
      </c>
      <c r="AC517" t="s">
        <v>143</v>
      </c>
      <c r="AD517" t="s">
        <v>40</v>
      </c>
      <c r="AE517" t="str">
        <f t="shared" si="130"/>
        <v>11</v>
      </c>
      <c r="AF517" t="s">
        <v>40</v>
      </c>
    </row>
    <row r="518" spans="1:32" x14ac:dyDescent="0.25">
      <c r="A518">
        <v>5</v>
      </c>
      <c r="B518">
        <v>240</v>
      </c>
      <c r="C518" t="str">
        <f t="shared" si="132"/>
        <v>35</v>
      </c>
      <c r="D518">
        <v>6341</v>
      </c>
      <c r="E518" t="str">
        <f t="shared" si="126"/>
        <v>00</v>
      </c>
      <c r="F518" t="str">
        <f t="shared" si="129"/>
        <v>999</v>
      </c>
      <c r="G518">
        <v>5</v>
      </c>
      <c r="H518" t="str">
        <f t="shared" si="131"/>
        <v>99</v>
      </c>
      <c r="I518" t="str">
        <f t="shared" si="135"/>
        <v>0</v>
      </c>
      <c r="J518" t="str">
        <f t="shared" si="122"/>
        <v>00</v>
      </c>
      <c r="K518">
        <v>20141107</v>
      </c>
      <c r="L518" t="str">
        <f t="shared" si="133"/>
        <v>014560</v>
      </c>
      <c r="M518" t="str">
        <f t="shared" si="134"/>
        <v>00410</v>
      </c>
      <c r="N518" t="s">
        <v>324</v>
      </c>
      <c r="O518">
        <v>279.11</v>
      </c>
      <c r="Q518" t="s">
        <v>33</v>
      </c>
      <c r="R518" t="s">
        <v>34</v>
      </c>
      <c r="S518" t="s">
        <v>35</v>
      </c>
      <c r="T518" t="s">
        <v>35</v>
      </c>
      <c r="U518" t="s">
        <v>34</v>
      </c>
      <c r="V518" t="str">
        <f>""</f>
        <v/>
      </c>
      <c r="W518">
        <v>20141106</v>
      </c>
      <c r="X518" t="s">
        <v>268</v>
      </c>
      <c r="Y518" t="s">
        <v>310</v>
      </c>
      <c r="Z518" t="s">
        <v>310</v>
      </c>
      <c r="AA518">
        <v>0</v>
      </c>
      <c r="AB518" t="s">
        <v>238</v>
      </c>
      <c r="AC518" t="s">
        <v>143</v>
      </c>
      <c r="AD518" t="s">
        <v>40</v>
      </c>
      <c r="AE518" t="str">
        <f t="shared" si="130"/>
        <v>11</v>
      </c>
      <c r="AF518" t="s">
        <v>40</v>
      </c>
    </row>
    <row r="519" spans="1:32" x14ac:dyDescent="0.25">
      <c r="A519">
        <v>5</v>
      </c>
      <c r="B519">
        <v>240</v>
      </c>
      <c r="C519" t="str">
        <f t="shared" si="132"/>
        <v>35</v>
      </c>
      <c r="D519">
        <v>6399</v>
      </c>
      <c r="E519" t="str">
        <f t="shared" si="126"/>
        <v>00</v>
      </c>
      <c r="F519" t="str">
        <f t="shared" si="129"/>
        <v>999</v>
      </c>
      <c r="G519">
        <v>5</v>
      </c>
      <c r="H519" t="str">
        <f t="shared" si="131"/>
        <v>99</v>
      </c>
      <c r="I519" t="str">
        <f t="shared" si="135"/>
        <v>0</v>
      </c>
      <c r="J519" t="str">
        <f t="shared" si="122"/>
        <v>00</v>
      </c>
      <c r="K519">
        <v>20141107</v>
      </c>
      <c r="L519" t="str">
        <f>"014561"</f>
        <v>014561</v>
      </c>
      <c r="M519" t="str">
        <f>"00248"</f>
        <v>00248</v>
      </c>
      <c r="N519" t="s">
        <v>345</v>
      </c>
      <c r="O519" s="1">
        <v>3000</v>
      </c>
      <c r="Q519" t="s">
        <v>33</v>
      </c>
      <c r="R519" t="s">
        <v>34</v>
      </c>
      <c r="S519" t="s">
        <v>35</v>
      </c>
      <c r="T519" t="s">
        <v>35</v>
      </c>
      <c r="U519" t="s">
        <v>34</v>
      </c>
      <c r="V519" t="str">
        <f>""</f>
        <v/>
      </c>
      <c r="W519">
        <v>20141106</v>
      </c>
      <c r="X519" t="s">
        <v>473</v>
      </c>
      <c r="Y519" t="s">
        <v>476</v>
      </c>
      <c r="Z519" t="s">
        <v>476</v>
      </c>
      <c r="AA519">
        <v>0</v>
      </c>
      <c r="AB519" t="s">
        <v>238</v>
      </c>
      <c r="AC519" t="s">
        <v>143</v>
      </c>
      <c r="AD519" t="s">
        <v>40</v>
      </c>
      <c r="AE519" t="str">
        <f t="shared" si="130"/>
        <v>11</v>
      </c>
      <c r="AF519" t="s">
        <v>40</v>
      </c>
    </row>
    <row r="520" spans="1:32" x14ac:dyDescent="0.25">
      <c r="A520">
        <v>5</v>
      </c>
      <c r="B520">
        <v>420</v>
      </c>
      <c r="C520" t="str">
        <f>"51"</f>
        <v>51</v>
      </c>
      <c r="D520">
        <v>6319</v>
      </c>
      <c r="E520" t="str">
        <f t="shared" si="126"/>
        <v>00</v>
      </c>
      <c r="F520" t="str">
        <f t="shared" si="129"/>
        <v>999</v>
      </c>
      <c r="G520">
        <v>5</v>
      </c>
      <c r="H520" t="str">
        <f t="shared" si="131"/>
        <v>99</v>
      </c>
      <c r="I520" t="str">
        <f t="shared" si="135"/>
        <v>0</v>
      </c>
      <c r="J520" t="str">
        <f t="shared" si="122"/>
        <v>00</v>
      </c>
      <c r="K520">
        <v>20141107</v>
      </c>
      <c r="L520" t="str">
        <f>"014561"</f>
        <v>014561</v>
      </c>
      <c r="M520" t="str">
        <f>"00248"</f>
        <v>00248</v>
      </c>
      <c r="N520" t="s">
        <v>345</v>
      </c>
      <c r="O520" s="1">
        <v>1983.95</v>
      </c>
      <c r="Q520" t="s">
        <v>33</v>
      </c>
      <c r="R520" t="s">
        <v>34</v>
      </c>
      <c r="S520" t="s">
        <v>35</v>
      </c>
      <c r="T520" t="s">
        <v>35</v>
      </c>
      <c r="U520" t="s">
        <v>34</v>
      </c>
      <c r="V520" t="str">
        <f>""</f>
        <v/>
      </c>
      <c r="W520">
        <v>20141106</v>
      </c>
      <c r="X520" t="s">
        <v>185</v>
      </c>
      <c r="Y520" t="s">
        <v>454</v>
      </c>
      <c r="Z520" t="s">
        <v>454</v>
      </c>
      <c r="AA520">
        <v>0</v>
      </c>
      <c r="AB520" t="s">
        <v>142</v>
      </c>
      <c r="AC520" t="s">
        <v>143</v>
      </c>
      <c r="AD520" t="s">
        <v>40</v>
      </c>
      <c r="AE520" t="str">
        <f t="shared" si="130"/>
        <v>11</v>
      </c>
      <c r="AF520" t="s">
        <v>40</v>
      </c>
    </row>
    <row r="521" spans="1:32" x14ac:dyDescent="0.25">
      <c r="A521">
        <v>5</v>
      </c>
      <c r="B521">
        <v>420</v>
      </c>
      <c r="C521" t="str">
        <f>"51"</f>
        <v>51</v>
      </c>
      <c r="D521">
        <v>6319</v>
      </c>
      <c r="E521" t="str">
        <f t="shared" si="126"/>
        <v>00</v>
      </c>
      <c r="F521" t="str">
        <f t="shared" si="129"/>
        <v>999</v>
      </c>
      <c r="G521">
        <v>5</v>
      </c>
      <c r="H521" t="str">
        <f t="shared" si="131"/>
        <v>99</v>
      </c>
      <c r="I521" t="str">
        <f t="shared" si="135"/>
        <v>0</v>
      </c>
      <c r="J521" t="str">
        <f t="shared" si="122"/>
        <v>00</v>
      </c>
      <c r="K521">
        <v>20141107</v>
      </c>
      <c r="L521" t="str">
        <f>"014561"</f>
        <v>014561</v>
      </c>
      <c r="M521" t="str">
        <f>"00248"</f>
        <v>00248</v>
      </c>
      <c r="N521" t="s">
        <v>345</v>
      </c>
      <c r="O521" s="1">
        <v>3000</v>
      </c>
      <c r="Q521" t="s">
        <v>33</v>
      </c>
      <c r="R521" t="s">
        <v>34</v>
      </c>
      <c r="S521" t="s">
        <v>35</v>
      </c>
      <c r="T521" t="s">
        <v>35</v>
      </c>
      <c r="U521" t="s">
        <v>34</v>
      </c>
      <c r="V521" t="str">
        <f>""</f>
        <v/>
      </c>
      <c r="W521">
        <v>20141106</v>
      </c>
      <c r="X521" t="s">
        <v>185</v>
      </c>
      <c r="Y521" t="s">
        <v>476</v>
      </c>
      <c r="Z521" t="s">
        <v>476</v>
      </c>
      <c r="AA521">
        <v>0</v>
      </c>
      <c r="AB521" t="s">
        <v>142</v>
      </c>
      <c r="AC521" t="s">
        <v>143</v>
      </c>
      <c r="AD521" t="s">
        <v>40</v>
      </c>
      <c r="AE521" t="str">
        <f t="shared" si="130"/>
        <v>11</v>
      </c>
      <c r="AF521" t="s">
        <v>40</v>
      </c>
    </row>
    <row r="522" spans="1:32" x14ac:dyDescent="0.25">
      <c r="A522">
        <v>5</v>
      </c>
      <c r="B522">
        <v>420</v>
      </c>
      <c r="C522" t="str">
        <f>"11"</f>
        <v>11</v>
      </c>
      <c r="D522">
        <v>6269</v>
      </c>
      <c r="E522" t="str">
        <f t="shared" si="126"/>
        <v>00</v>
      </c>
      <c r="F522" t="str">
        <f>"001"</f>
        <v>001</v>
      </c>
      <c r="G522">
        <v>5</v>
      </c>
      <c r="H522" t="str">
        <f>"11"</f>
        <v>11</v>
      </c>
      <c r="I522" t="str">
        <f t="shared" si="135"/>
        <v>0</v>
      </c>
      <c r="J522" t="str">
        <f t="shared" si="122"/>
        <v>00</v>
      </c>
      <c r="K522">
        <v>20141107</v>
      </c>
      <c r="L522" t="str">
        <f>"014562"</f>
        <v>014562</v>
      </c>
      <c r="M522" t="str">
        <f>"00407"</f>
        <v>00407</v>
      </c>
      <c r="N522" t="s">
        <v>477</v>
      </c>
      <c r="O522" s="1">
        <v>1500</v>
      </c>
      <c r="Q522" t="s">
        <v>33</v>
      </c>
      <c r="R522" t="s">
        <v>34</v>
      </c>
      <c r="S522" t="s">
        <v>35</v>
      </c>
      <c r="T522" t="s">
        <v>35</v>
      </c>
      <c r="U522" t="s">
        <v>34</v>
      </c>
      <c r="V522" t="str">
        <f>""</f>
        <v/>
      </c>
      <c r="W522">
        <v>20141106</v>
      </c>
      <c r="X522" t="s">
        <v>478</v>
      </c>
      <c r="Y522" t="s">
        <v>479</v>
      </c>
      <c r="Z522" t="s">
        <v>479</v>
      </c>
      <c r="AA522">
        <v>0</v>
      </c>
      <c r="AB522" t="s">
        <v>142</v>
      </c>
      <c r="AC522" t="s">
        <v>41</v>
      </c>
      <c r="AD522" t="s">
        <v>40</v>
      </c>
      <c r="AE522" t="str">
        <f t="shared" si="130"/>
        <v>11</v>
      </c>
      <c r="AF522" t="s">
        <v>40</v>
      </c>
    </row>
    <row r="523" spans="1:32" x14ac:dyDescent="0.25">
      <c r="A523">
        <v>5</v>
      </c>
      <c r="B523">
        <v>420</v>
      </c>
      <c r="C523" t="str">
        <f>"51"</f>
        <v>51</v>
      </c>
      <c r="D523">
        <v>6259</v>
      </c>
      <c r="E523" t="str">
        <f>"50"</f>
        <v>50</v>
      </c>
      <c r="F523" t="str">
        <f>"999"</f>
        <v>999</v>
      </c>
      <c r="G523">
        <v>5</v>
      </c>
      <c r="H523" t="str">
        <f>"99"</f>
        <v>99</v>
      </c>
      <c r="I523" t="str">
        <f t="shared" si="135"/>
        <v>0</v>
      </c>
      <c r="J523" t="str">
        <f t="shared" si="122"/>
        <v>00</v>
      </c>
      <c r="K523">
        <v>20141107</v>
      </c>
      <c r="L523" t="str">
        <f>"014563"</f>
        <v>014563</v>
      </c>
      <c r="M523" t="str">
        <f>"00162"</f>
        <v>00162</v>
      </c>
      <c r="N523" t="s">
        <v>242</v>
      </c>
      <c r="O523">
        <v>690.14</v>
      </c>
      <c r="Q523" t="s">
        <v>33</v>
      </c>
      <c r="R523" t="s">
        <v>34</v>
      </c>
      <c r="S523" t="s">
        <v>35</v>
      </c>
      <c r="T523" t="s">
        <v>35</v>
      </c>
      <c r="U523" t="s">
        <v>34</v>
      </c>
      <c r="V523" t="str">
        <f>""</f>
        <v/>
      </c>
      <c r="W523">
        <v>20141107</v>
      </c>
      <c r="X523" t="s">
        <v>374</v>
      </c>
      <c r="Y523" t="s">
        <v>375</v>
      </c>
      <c r="Z523" t="s">
        <v>375</v>
      </c>
      <c r="AA523">
        <v>0</v>
      </c>
      <c r="AB523" t="s">
        <v>142</v>
      </c>
      <c r="AC523" t="s">
        <v>143</v>
      </c>
      <c r="AD523" t="s">
        <v>40</v>
      </c>
      <c r="AE523" t="str">
        <f t="shared" si="130"/>
        <v>11</v>
      </c>
      <c r="AF523" t="s">
        <v>40</v>
      </c>
    </row>
    <row r="524" spans="1:32" x14ac:dyDescent="0.25">
      <c r="A524">
        <v>5</v>
      </c>
      <c r="B524">
        <v>420</v>
      </c>
      <c r="C524" t="str">
        <f>"51"</f>
        <v>51</v>
      </c>
      <c r="D524">
        <v>6259</v>
      </c>
      <c r="E524" t="str">
        <f>"55"</f>
        <v>55</v>
      </c>
      <c r="F524" t="str">
        <f>"999"</f>
        <v>999</v>
      </c>
      <c r="G524">
        <v>5</v>
      </c>
      <c r="H524" t="str">
        <f>"99"</f>
        <v>99</v>
      </c>
      <c r="I524" t="str">
        <f t="shared" si="135"/>
        <v>0</v>
      </c>
      <c r="J524" t="str">
        <f t="shared" si="122"/>
        <v>00</v>
      </c>
      <c r="K524">
        <v>20141107</v>
      </c>
      <c r="L524" t="str">
        <f>"014564"</f>
        <v>014564</v>
      </c>
      <c r="M524" t="str">
        <f>"00306"</f>
        <v>00306</v>
      </c>
      <c r="N524" t="s">
        <v>245</v>
      </c>
      <c r="O524">
        <v>523.72</v>
      </c>
      <c r="Q524" t="s">
        <v>33</v>
      </c>
      <c r="R524" t="s">
        <v>34</v>
      </c>
      <c r="S524" t="s">
        <v>35</v>
      </c>
      <c r="T524" t="s">
        <v>35</v>
      </c>
      <c r="U524" t="s">
        <v>34</v>
      </c>
      <c r="V524" t="str">
        <f>""</f>
        <v/>
      </c>
      <c r="W524">
        <v>20141106</v>
      </c>
      <c r="X524" t="s">
        <v>243</v>
      </c>
      <c r="Y524" t="s">
        <v>244</v>
      </c>
      <c r="Z524" t="s">
        <v>244</v>
      </c>
      <c r="AA524">
        <v>0</v>
      </c>
      <c r="AB524" t="s">
        <v>142</v>
      </c>
      <c r="AC524" t="s">
        <v>143</v>
      </c>
      <c r="AD524" t="s">
        <v>40</v>
      </c>
      <c r="AE524" t="str">
        <f t="shared" si="130"/>
        <v>11</v>
      </c>
      <c r="AF524" t="s">
        <v>40</v>
      </c>
    </row>
    <row r="525" spans="1:32" x14ac:dyDescent="0.25">
      <c r="A525">
        <v>5</v>
      </c>
      <c r="B525">
        <v>420</v>
      </c>
      <c r="C525" t="str">
        <f>"51"</f>
        <v>51</v>
      </c>
      <c r="D525">
        <v>6259</v>
      </c>
      <c r="E525" t="str">
        <f>"55"</f>
        <v>55</v>
      </c>
      <c r="F525" t="str">
        <f>"999"</f>
        <v>999</v>
      </c>
      <c r="G525">
        <v>5</v>
      </c>
      <c r="H525" t="str">
        <f>"99"</f>
        <v>99</v>
      </c>
      <c r="I525" t="str">
        <f t="shared" si="135"/>
        <v>0</v>
      </c>
      <c r="J525" t="str">
        <f t="shared" si="122"/>
        <v>00</v>
      </c>
      <c r="K525">
        <v>20141107</v>
      </c>
      <c r="L525" t="str">
        <f>"014564"</f>
        <v>014564</v>
      </c>
      <c r="M525" t="str">
        <f>"00306"</f>
        <v>00306</v>
      </c>
      <c r="N525" t="s">
        <v>245</v>
      </c>
      <c r="O525">
        <v>82.53</v>
      </c>
      <c r="Q525" t="s">
        <v>33</v>
      </c>
      <c r="R525" t="s">
        <v>34</v>
      </c>
      <c r="S525" t="s">
        <v>35</v>
      </c>
      <c r="T525" t="s">
        <v>35</v>
      </c>
      <c r="U525" t="s">
        <v>34</v>
      </c>
      <c r="V525" t="str">
        <f>""</f>
        <v/>
      </c>
      <c r="W525">
        <v>20141106</v>
      </c>
      <c r="X525" t="s">
        <v>243</v>
      </c>
      <c r="Y525" t="s">
        <v>244</v>
      </c>
      <c r="Z525" t="s">
        <v>244</v>
      </c>
      <c r="AA525">
        <v>0</v>
      </c>
      <c r="AB525" t="s">
        <v>142</v>
      </c>
      <c r="AC525" t="s">
        <v>143</v>
      </c>
      <c r="AD525" t="s">
        <v>40</v>
      </c>
      <c r="AE525" t="str">
        <f t="shared" si="130"/>
        <v>11</v>
      </c>
      <c r="AF525" t="s">
        <v>40</v>
      </c>
    </row>
    <row r="526" spans="1:32" x14ac:dyDescent="0.25">
      <c r="A526">
        <v>5</v>
      </c>
      <c r="B526">
        <v>420</v>
      </c>
      <c r="C526" t="str">
        <f>"51"</f>
        <v>51</v>
      </c>
      <c r="D526">
        <v>6259</v>
      </c>
      <c r="E526" t="str">
        <f>"55"</f>
        <v>55</v>
      </c>
      <c r="F526" t="str">
        <f>"999"</f>
        <v>999</v>
      </c>
      <c r="G526">
        <v>5</v>
      </c>
      <c r="H526" t="str">
        <f>"99"</f>
        <v>99</v>
      </c>
      <c r="I526" t="str">
        <f t="shared" si="135"/>
        <v>0</v>
      </c>
      <c r="J526" t="str">
        <f t="shared" si="122"/>
        <v>00</v>
      </c>
      <c r="K526">
        <v>20141107</v>
      </c>
      <c r="L526" t="str">
        <f>"014564"</f>
        <v>014564</v>
      </c>
      <c r="M526" t="str">
        <f>"00306"</f>
        <v>00306</v>
      </c>
      <c r="N526" t="s">
        <v>245</v>
      </c>
      <c r="O526">
        <v>339.8</v>
      </c>
      <c r="Q526" t="s">
        <v>33</v>
      </c>
      <c r="R526" t="s">
        <v>34</v>
      </c>
      <c r="S526" t="s">
        <v>35</v>
      </c>
      <c r="T526" t="s">
        <v>35</v>
      </c>
      <c r="U526" t="s">
        <v>34</v>
      </c>
      <c r="V526" t="str">
        <f>""</f>
        <v/>
      </c>
      <c r="W526">
        <v>20141106</v>
      </c>
      <c r="X526" t="s">
        <v>243</v>
      </c>
      <c r="Y526" t="s">
        <v>244</v>
      </c>
      <c r="Z526" t="s">
        <v>244</v>
      </c>
      <c r="AA526">
        <v>0</v>
      </c>
      <c r="AB526" t="s">
        <v>142</v>
      </c>
      <c r="AC526" t="s">
        <v>143</v>
      </c>
      <c r="AD526" t="s">
        <v>40</v>
      </c>
      <c r="AE526" t="str">
        <f t="shared" si="130"/>
        <v>11</v>
      </c>
      <c r="AF526" t="s">
        <v>40</v>
      </c>
    </row>
    <row r="527" spans="1:32" x14ac:dyDescent="0.25">
      <c r="A527">
        <v>5</v>
      </c>
      <c r="B527">
        <v>211</v>
      </c>
      <c r="C527" t="str">
        <f>"11"</f>
        <v>11</v>
      </c>
      <c r="D527">
        <v>6399</v>
      </c>
      <c r="E527" t="str">
        <f t="shared" ref="E527:E573" si="136">"00"</f>
        <v>00</v>
      </c>
      <c r="F527" t="str">
        <f>"101"</f>
        <v>101</v>
      </c>
      <c r="G527">
        <v>5</v>
      </c>
      <c r="H527" t="str">
        <f>"30"</f>
        <v>30</v>
      </c>
      <c r="I527" t="str">
        <f t="shared" si="135"/>
        <v>0</v>
      </c>
      <c r="J527" t="str">
        <f t="shared" si="122"/>
        <v>00</v>
      </c>
      <c r="K527">
        <v>20141107</v>
      </c>
      <c r="L527" t="str">
        <f>"014565"</f>
        <v>014565</v>
      </c>
      <c r="M527" t="str">
        <f>"00310"</f>
        <v>00310</v>
      </c>
      <c r="N527" t="s">
        <v>480</v>
      </c>
      <c r="O527">
        <v>103.96</v>
      </c>
      <c r="Q527" t="s">
        <v>33</v>
      </c>
      <c r="R527" t="s">
        <v>34</v>
      </c>
      <c r="S527" t="s">
        <v>35</v>
      </c>
      <c r="T527" t="s">
        <v>35</v>
      </c>
      <c r="U527" t="s">
        <v>34</v>
      </c>
      <c r="V527" t="str">
        <f>""</f>
        <v/>
      </c>
      <c r="W527">
        <v>20141106</v>
      </c>
      <c r="X527" t="s">
        <v>422</v>
      </c>
      <c r="Y527" t="s">
        <v>481</v>
      </c>
      <c r="Z527" t="s">
        <v>481</v>
      </c>
      <c r="AA527">
        <v>0</v>
      </c>
      <c r="AB527" t="s">
        <v>174</v>
      </c>
      <c r="AC527" t="s">
        <v>41</v>
      </c>
      <c r="AD527" t="s">
        <v>40</v>
      </c>
      <c r="AE527" t="str">
        <f t="shared" si="130"/>
        <v>11</v>
      </c>
      <c r="AF527" t="s">
        <v>40</v>
      </c>
    </row>
    <row r="528" spans="1:32" x14ac:dyDescent="0.25">
      <c r="A528">
        <v>5</v>
      </c>
      <c r="B528">
        <v>420</v>
      </c>
      <c r="C528" t="str">
        <f>"11"</f>
        <v>11</v>
      </c>
      <c r="D528">
        <v>6315</v>
      </c>
      <c r="E528" t="str">
        <f t="shared" si="136"/>
        <v>00</v>
      </c>
      <c r="F528" t="str">
        <f>"101"</f>
        <v>101</v>
      </c>
      <c r="G528">
        <v>5</v>
      </c>
      <c r="H528" t="str">
        <f>"11"</f>
        <v>11</v>
      </c>
      <c r="I528" t="str">
        <f t="shared" si="135"/>
        <v>0</v>
      </c>
      <c r="J528" t="str">
        <f t="shared" si="122"/>
        <v>00</v>
      </c>
      <c r="K528">
        <v>20141107</v>
      </c>
      <c r="L528" t="str">
        <f>"014565"</f>
        <v>014565</v>
      </c>
      <c r="M528" t="str">
        <f>"00310"</f>
        <v>00310</v>
      </c>
      <c r="N528" t="s">
        <v>480</v>
      </c>
      <c r="O528">
        <v>382.92</v>
      </c>
      <c r="Q528" t="s">
        <v>33</v>
      </c>
      <c r="R528" t="s">
        <v>34</v>
      </c>
      <c r="S528" t="s">
        <v>35</v>
      </c>
      <c r="T528" t="s">
        <v>35</v>
      </c>
      <c r="U528" t="s">
        <v>34</v>
      </c>
      <c r="V528" t="str">
        <f>""</f>
        <v/>
      </c>
      <c r="W528">
        <v>20141106</v>
      </c>
      <c r="X528" t="s">
        <v>482</v>
      </c>
      <c r="Y528" t="s">
        <v>481</v>
      </c>
      <c r="Z528" t="s">
        <v>481</v>
      </c>
      <c r="AA528">
        <v>0</v>
      </c>
      <c r="AB528" t="s">
        <v>142</v>
      </c>
      <c r="AC528" t="s">
        <v>41</v>
      </c>
      <c r="AD528" t="s">
        <v>40</v>
      </c>
      <c r="AE528" t="str">
        <f t="shared" si="130"/>
        <v>11</v>
      </c>
      <c r="AF528" t="s">
        <v>40</v>
      </c>
    </row>
    <row r="529" spans="1:32" x14ac:dyDescent="0.25">
      <c r="A529">
        <v>5</v>
      </c>
      <c r="B529">
        <v>420</v>
      </c>
      <c r="C529" t="str">
        <f>"11"</f>
        <v>11</v>
      </c>
      <c r="D529">
        <v>6315</v>
      </c>
      <c r="E529" t="str">
        <f t="shared" si="136"/>
        <v>00</v>
      </c>
      <c r="F529" t="str">
        <f>"101"</f>
        <v>101</v>
      </c>
      <c r="G529">
        <v>5</v>
      </c>
      <c r="H529" t="str">
        <f>"11"</f>
        <v>11</v>
      </c>
      <c r="I529" t="str">
        <f t="shared" si="135"/>
        <v>0</v>
      </c>
      <c r="J529" t="str">
        <f t="shared" si="122"/>
        <v>00</v>
      </c>
      <c r="K529">
        <v>20141107</v>
      </c>
      <c r="L529" t="str">
        <f>"014565"</f>
        <v>014565</v>
      </c>
      <c r="M529" t="str">
        <f>"00310"</f>
        <v>00310</v>
      </c>
      <c r="N529" t="s">
        <v>480</v>
      </c>
      <c r="O529">
        <v>351.84</v>
      </c>
      <c r="Q529" t="s">
        <v>33</v>
      </c>
      <c r="R529" t="s">
        <v>34</v>
      </c>
      <c r="S529" t="s">
        <v>35</v>
      </c>
      <c r="T529" t="s">
        <v>35</v>
      </c>
      <c r="U529" t="s">
        <v>34</v>
      </c>
      <c r="V529" t="str">
        <f>""</f>
        <v/>
      </c>
      <c r="W529">
        <v>20141106</v>
      </c>
      <c r="X529" t="s">
        <v>482</v>
      </c>
      <c r="Y529" t="s">
        <v>481</v>
      </c>
      <c r="Z529" t="s">
        <v>481</v>
      </c>
      <c r="AA529">
        <v>0</v>
      </c>
      <c r="AB529" t="s">
        <v>142</v>
      </c>
      <c r="AC529" t="s">
        <v>41</v>
      </c>
      <c r="AD529" t="s">
        <v>40</v>
      </c>
      <c r="AE529" t="str">
        <f t="shared" si="130"/>
        <v>11</v>
      </c>
      <c r="AF529" t="s">
        <v>40</v>
      </c>
    </row>
    <row r="530" spans="1:32" x14ac:dyDescent="0.25">
      <c r="A530">
        <v>5</v>
      </c>
      <c r="B530">
        <v>420</v>
      </c>
      <c r="C530" t="str">
        <f>"34"</f>
        <v>34</v>
      </c>
      <c r="D530">
        <v>6249</v>
      </c>
      <c r="E530" t="str">
        <f t="shared" si="136"/>
        <v>00</v>
      </c>
      <c r="F530" t="str">
        <f t="shared" ref="F530:F538" si="137">"999"</f>
        <v>999</v>
      </c>
      <c r="G530">
        <v>5</v>
      </c>
      <c r="H530" t="str">
        <f t="shared" ref="H530:H538" si="138">"99"</f>
        <v>99</v>
      </c>
      <c r="I530" t="str">
        <f t="shared" si="135"/>
        <v>0</v>
      </c>
      <c r="J530" t="str">
        <f t="shared" si="122"/>
        <v>00</v>
      </c>
      <c r="K530">
        <v>20141107</v>
      </c>
      <c r="L530" t="str">
        <f>"014566"</f>
        <v>014566</v>
      </c>
      <c r="M530" t="str">
        <f>"00554"</f>
        <v>00554</v>
      </c>
      <c r="N530" t="s">
        <v>483</v>
      </c>
      <c r="O530">
        <v>266.66000000000003</v>
      </c>
      <c r="Q530" t="s">
        <v>33</v>
      </c>
      <c r="R530" t="s">
        <v>34</v>
      </c>
      <c r="S530" t="s">
        <v>35</v>
      </c>
      <c r="T530" t="s">
        <v>35</v>
      </c>
      <c r="U530" t="s">
        <v>34</v>
      </c>
      <c r="V530" t="str">
        <f>""</f>
        <v/>
      </c>
      <c r="W530">
        <v>20141107</v>
      </c>
      <c r="X530" t="s">
        <v>484</v>
      </c>
      <c r="Y530" t="s">
        <v>485</v>
      </c>
      <c r="Z530" t="s">
        <v>485</v>
      </c>
      <c r="AA530">
        <v>0</v>
      </c>
      <c r="AB530" t="s">
        <v>142</v>
      </c>
      <c r="AC530" t="s">
        <v>143</v>
      </c>
      <c r="AD530" t="s">
        <v>40</v>
      </c>
      <c r="AE530" t="str">
        <f t="shared" si="130"/>
        <v>11</v>
      </c>
      <c r="AF530" t="s">
        <v>40</v>
      </c>
    </row>
    <row r="531" spans="1:32" x14ac:dyDescent="0.25">
      <c r="A531">
        <v>5</v>
      </c>
      <c r="B531">
        <v>240</v>
      </c>
      <c r="C531" t="str">
        <f t="shared" ref="C531:C537" si="139">"35"</f>
        <v>35</v>
      </c>
      <c r="D531">
        <v>6341</v>
      </c>
      <c r="E531" t="str">
        <f t="shared" si="136"/>
        <v>00</v>
      </c>
      <c r="F531" t="str">
        <f t="shared" si="137"/>
        <v>999</v>
      </c>
      <c r="G531">
        <v>5</v>
      </c>
      <c r="H531" t="str">
        <f t="shared" si="138"/>
        <v>99</v>
      </c>
      <c r="I531" t="str">
        <f t="shared" si="135"/>
        <v>0</v>
      </c>
      <c r="J531" t="str">
        <f t="shared" si="122"/>
        <v>00</v>
      </c>
      <c r="K531">
        <v>20141107</v>
      </c>
      <c r="L531" t="str">
        <f>"014567"</f>
        <v>014567</v>
      </c>
      <c r="M531" t="str">
        <f>"00391"</f>
        <v>00391</v>
      </c>
      <c r="N531" t="s">
        <v>265</v>
      </c>
      <c r="O531">
        <v>294.01</v>
      </c>
      <c r="Q531" t="s">
        <v>33</v>
      </c>
      <c r="R531" t="s">
        <v>34</v>
      </c>
      <c r="S531" t="s">
        <v>35</v>
      </c>
      <c r="T531" t="s">
        <v>35</v>
      </c>
      <c r="U531" t="s">
        <v>34</v>
      </c>
      <c r="V531" t="str">
        <f>""</f>
        <v/>
      </c>
      <c r="W531">
        <v>20141106</v>
      </c>
      <c r="X531" t="s">
        <v>268</v>
      </c>
      <c r="Y531" t="s">
        <v>266</v>
      </c>
      <c r="Z531" t="s">
        <v>266</v>
      </c>
      <c r="AA531">
        <v>0</v>
      </c>
      <c r="AB531" t="s">
        <v>238</v>
      </c>
      <c r="AC531" t="s">
        <v>143</v>
      </c>
      <c r="AD531" t="s">
        <v>40</v>
      </c>
      <c r="AE531" t="str">
        <f t="shared" si="130"/>
        <v>11</v>
      </c>
      <c r="AF531" t="s">
        <v>40</v>
      </c>
    </row>
    <row r="532" spans="1:32" x14ac:dyDescent="0.25">
      <c r="A532">
        <v>5</v>
      </c>
      <c r="B532">
        <v>240</v>
      </c>
      <c r="C532" t="str">
        <f t="shared" si="139"/>
        <v>35</v>
      </c>
      <c r="D532">
        <v>6341</v>
      </c>
      <c r="E532" t="str">
        <f t="shared" si="136"/>
        <v>00</v>
      </c>
      <c r="F532" t="str">
        <f t="shared" si="137"/>
        <v>999</v>
      </c>
      <c r="G532">
        <v>5</v>
      </c>
      <c r="H532" t="str">
        <f t="shared" si="138"/>
        <v>99</v>
      </c>
      <c r="I532" t="str">
        <f t="shared" si="135"/>
        <v>0</v>
      </c>
      <c r="J532" t="str">
        <f t="shared" si="122"/>
        <v>00</v>
      </c>
      <c r="K532">
        <v>20141107</v>
      </c>
      <c r="L532" t="str">
        <f>"014567"</f>
        <v>014567</v>
      </c>
      <c r="M532" t="str">
        <f>"00391"</f>
        <v>00391</v>
      </c>
      <c r="N532" t="s">
        <v>265</v>
      </c>
      <c r="O532" s="1">
        <v>2974.89</v>
      </c>
      <c r="Q532" t="s">
        <v>33</v>
      </c>
      <c r="R532" t="s">
        <v>34</v>
      </c>
      <c r="S532" t="s">
        <v>35</v>
      </c>
      <c r="T532" t="s">
        <v>35</v>
      </c>
      <c r="U532" t="s">
        <v>34</v>
      </c>
      <c r="V532" t="str">
        <f>""</f>
        <v/>
      </c>
      <c r="W532">
        <v>20141106</v>
      </c>
      <c r="X532" t="s">
        <v>268</v>
      </c>
      <c r="Y532" t="s">
        <v>266</v>
      </c>
      <c r="Z532" t="s">
        <v>266</v>
      </c>
      <c r="AA532">
        <v>0</v>
      </c>
      <c r="AB532" t="s">
        <v>238</v>
      </c>
      <c r="AC532" t="s">
        <v>143</v>
      </c>
      <c r="AD532" t="s">
        <v>40</v>
      </c>
      <c r="AE532" t="str">
        <f t="shared" si="130"/>
        <v>11</v>
      </c>
      <c r="AF532" t="s">
        <v>40</v>
      </c>
    </row>
    <row r="533" spans="1:32" x14ac:dyDescent="0.25">
      <c r="A533">
        <v>5</v>
      </c>
      <c r="B533">
        <v>240</v>
      </c>
      <c r="C533" t="str">
        <f t="shared" si="139"/>
        <v>35</v>
      </c>
      <c r="D533">
        <v>6342</v>
      </c>
      <c r="E533" t="str">
        <f t="shared" si="136"/>
        <v>00</v>
      </c>
      <c r="F533" t="str">
        <f t="shared" si="137"/>
        <v>999</v>
      </c>
      <c r="G533">
        <v>5</v>
      </c>
      <c r="H533" t="str">
        <f t="shared" si="138"/>
        <v>99</v>
      </c>
      <c r="I533" t="str">
        <f t="shared" si="135"/>
        <v>0</v>
      </c>
      <c r="J533" t="str">
        <f t="shared" si="122"/>
        <v>00</v>
      </c>
      <c r="K533">
        <v>20141107</v>
      </c>
      <c r="L533" t="str">
        <f>"014567"</f>
        <v>014567</v>
      </c>
      <c r="M533" t="str">
        <f>"00391"</f>
        <v>00391</v>
      </c>
      <c r="N533" t="s">
        <v>265</v>
      </c>
      <c r="O533">
        <v>13.38</v>
      </c>
      <c r="Q533" t="s">
        <v>33</v>
      </c>
      <c r="R533" t="s">
        <v>34</v>
      </c>
      <c r="S533" t="s">
        <v>35</v>
      </c>
      <c r="T533" t="s">
        <v>35</v>
      </c>
      <c r="U533" t="s">
        <v>34</v>
      </c>
      <c r="V533" t="str">
        <f>""</f>
        <v/>
      </c>
      <c r="W533">
        <v>20141106</v>
      </c>
      <c r="X533" t="s">
        <v>269</v>
      </c>
      <c r="Y533" t="s">
        <v>266</v>
      </c>
      <c r="Z533" t="s">
        <v>266</v>
      </c>
      <c r="AA533">
        <v>0</v>
      </c>
      <c r="AB533" t="s">
        <v>238</v>
      </c>
      <c r="AC533" t="s">
        <v>143</v>
      </c>
      <c r="AD533" t="s">
        <v>40</v>
      </c>
      <c r="AE533" t="str">
        <f t="shared" si="130"/>
        <v>11</v>
      </c>
      <c r="AF533" t="s">
        <v>40</v>
      </c>
    </row>
    <row r="534" spans="1:32" x14ac:dyDescent="0.25">
      <c r="A534">
        <v>5</v>
      </c>
      <c r="B534">
        <v>240</v>
      </c>
      <c r="C534" t="str">
        <f t="shared" si="139"/>
        <v>35</v>
      </c>
      <c r="D534">
        <v>6342</v>
      </c>
      <c r="E534" t="str">
        <f t="shared" si="136"/>
        <v>00</v>
      </c>
      <c r="F534" t="str">
        <f t="shared" si="137"/>
        <v>999</v>
      </c>
      <c r="G534">
        <v>5</v>
      </c>
      <c r="H534" t="str">
        <f t="shared" si="138"/>
        <v>99</v>
      </c>
      <c r="I534" t="str">
        <f t="shared" si="135"/>
        <v>0</v>
      </c>
      <c r="J534" t="str">
        <f t="shared" si="122"/>
        <v>00</v>
      </c>
      <c r="K534">
        <v>20141107</v>
      </c>
      <c r="L534" t="str">
        <f>"014567"</f>
        <v>014567</v>
      </c>
      <c r="M534" t="str">
        <f>"00391"</f>
        <v>00391</v>
      </c>
      <c r="N534" t="s">
        <v>265</v>
      </c>
      <c r="O534">
        <v>299.10000000000002</v>
      </c>
      <c r="Q534" t="s">
        <v>33</v>
      </c>
      <c r="R534" t="s">
        <v>34</v>
      </c>
      <c r="S534" t="s">
        <v>35</v>
      </c>
      <c r="T534" t="s">
        <v>35</v>
      </c>
      <c r="U534" t="s">
        <v>34</v>
      </c>
      <c r="V534" t="str">
        <f>""</f>
        <v/>
      </c>
      <c r="W534">
        <v>20141106</v>
      </c>
      <c r="X534" t="s">
        <v>269</v>
      </c>
      <c r="Y534" t="s">
        <v>266</v>
      </c>
      <c r="Z534" t="s">
        <v>266</v>
      </c>
      <c r="AA534">
        <v>0</v>
      </c>
      <c r="AB534" t="s">
        <v>238</v>
      </c>
      <c r="AC534" t="s">
        <v>143</v>
      </c>
      <c r="AD534" t="s">
        <v>40</v>
      </c>
      <c r="AE534" t="str">
        <f t="shared" si="130"/>
        <v>11</v>
      </c>
      <c r="AF534" t="s">
        <v>40</v>
      </c>
    </row>
    <row r="535" spans="1:32" x14ac:dyDescent="0.25">
      <c r="A535">
        <v>5</v>
      </c>
      <c r="B535">
        <v>240</v>
      </c>
      <c r="C535" t="str">
        <f t="shared" si="139"/>
        <v>35</v>
      </c>
      <c r="D535">
        <v>6299</v>
      </c>
      <c r="E535" t="str">
        <f t="shared" si="136"/>
        <v>00</v>
      </c>
      <c r="F535" t="str">
        <f t="shared" si="137"/>
        <v>999</v>
      </c>
      <c r="G535">
        <v>5</v>
      </c>
      <c r="H535" t="str">
        <f t="shared" si="138"/>
        <v>99</v>
      </c>
      <c r="I535" t="str">
        <f t="shared" si="135"/>
        <v>0</v>
      </c>
      <c r="J535" t="str">
        <f t="shared" si="122"/>
        <v>00</v>
      </c>
      <c r="K535">
        <v>20141107</v>
      </c>
      <c r="L535" t="str">
        <f>"014568"</f>
        <v>014568</v>
      </c>
      <c r="M535" t="str">
        <f>"00577"</f>
        <v>00577</v>
      </c>
      <c r="N535" t="s">
        <v>251</v>
      </c>
      <c r="O535">
        <v>39.04</v>
      </c>
      <c r="Q535" t="s">
        <v>33</v>
      </c>
      <c r="R535" t="s">
        <v>34</v>
      </c>
      <c r="S535" t="s">
        <v>35</v>
      </c>
      <c r="T535" t="s">
        <v>35</v>
      </c>
      <c r="U535" t="s">
        <v>34</v>
      </c>
      <c r="V535" t="str">
        <f>""</f>
        <v/>
      </c>
      <c r="W535">
        <v>20141106</v>
      </c>
      <c r="X535" t="s">
        <v>252</v>
      </c>
      <c r="Y535" t="s">
        <v>253</v>
      </c>
      <c r="Z535" t="s">
        <v>253</v>
      </c>
      <c r="AA535">
        <v>0</v>
      </c>
      <c r="AB535" t="s">
        <v>238</v>
      </c>
      <c r="AC535" t="s">
        <v>143</v>
      </c>
      <c r="AD535" t="s">
        <v>40</v>
      </c>
      <c r="AE535" t="str">
        <f t="shared" si="130"/>
        <v>11</v>
      </c>
      <c r="AF535" t="s">
        <v>40</v>
      </c>
    </row>
    <row r="536" spans="1:32" x14ac:dyDescent="0.25">
      <c r="A536">
        <v>5</v>
      </c>
      <c r="B536">
        <v>240</v>
      </c>
      <c r="C536" t="str">
        <f t="shared" si="139"/>
        <v>35</v>
      </c>
      <c r="D536">
        <v>6299</v>
      </c>
      <c r="E536" t="str">
        <f t="shared" si="136"/>
        <v>00</v>
      </c>
      <c r="F536" t="str">
        <f t="shared" si="137"/>
        <v>999</v>
      </c>
      <c r="G536">
        <v>5</v>
      </c>
      <c r="H536" t="str">
        <f t="shared" si="138"/>
        <v>99</v>
      </c>
      <c r="I536" t="str">
        <f t="shared" si="135"/>
        <v>0</v>
      </c>
      <c r="J536" t="str">
        <f t="shared" si="122"/>
        <v>00</v>
      </c>
      <c r="K536">
        <v>20141107</v>
      </c>
      <c r="L536" t="str">
        <f>"014568"</f>
        <v>014568</v>
      </c>
      <c r="M536" t="str">
        <f>"00577"</f>
        <v>00577</v>
      </c>
      <c r="N536" t="s">
        <v>251</v>
      </c>
      <c r="O536">
        <v>42.08</v>
      </c>
      <c r="Q536" t="s">
        <v>33</v>
      </c>
      <c r="R536" t="s">
        <v>34</v>
      </c>
      <c r="S536" t="s">
        <v>35</v>
      </c>
      <c r="T536" t="s">
        <v>35</v>
      </c>
      <c r="U536" t="s">
        <v>34</v>
      </c>
      <c r="V536" t="str">
        <f>""</f>
        <v/>
      </c>
      <c r="W536">
        <v>20141106</v>
      </c>
      <c r="X536" t="s">
        <v>252</v>
      </c>
      <c r="Y536" t="s">
        <v>253</v>
      </c>
      <c r="Z536" t="s">
        <v>253</v>
      </c>
      <c r="AA536">
        <v>0</v>
      </c>
      <c r="AB536" t="s">
        <v>238</v>
      </c>
      <c r="AC536" t="s">
        <v>143</v>
      </c>
      <c r="AD536" t="s">
        <v>40</v>
      </c>
      <c r="AE536" t="str">
        <f t="shared" si="130"/>
        <v>11</v>
      </c>
      <c r="AF536" t="s">
        <v>40</v>
      </c>
    </row>
    <row r="537" spans="1:32" x14ac:dyDescent="0.25">
      <c r="A537">
        <v>5</v>
      </c>
      <c r="B537">
        <v>240</v>
      </c>
      <c r="C537" t="str">
        <f t="shared" si="139"/>
        <v>35</v>
      </c>
      <c r="D537">
        <v>6299</v>
      </c>
      <c r="E537" t="str">
        <f t="shared" si="136"/>
        <v>00</v>
      </c>
      <c r="F537" t="str">
        <f t="shared" si="137"/>
        <v>999</v>
      </c>
      <c r="G537">
        <v>5</v>
      </c>
      <c r="H537" t="str">
        <f t="shared" si="138"/>
        <v>99</v>
      </c>
      <c r="I537" t="str">
        <f t="shared" si="135"/>
        <v>0</v>
      </c>
      <c r="J537" t="str">
        <f t="shared" ref="J537:J584" si="140">"00"</f>
        <v>00</v>
      </c>
      <c r="K537">
        <v>20141107</v>
      </c>
      <c r="L537" t="str">
        <f>"014568"</f>
        <v>014568</v>
      </c>
      <c r="M537" t="str">
        <f>"00577"</f>
        <v>00577</v>
      </c>
      <c r="N537" t="s">
        <v>251</v>
      </c>
      <c r="O537">
        <v>123.02</v>
      </c>
      <c r="Q537" t="s">
        <v>33</v>
      </c>
      <c r="R537" t="s">
        <v>34</v>
      </c>
      <c r="S537" t="s">
        <v>35</v>
      </c>
      <c r="T537" t="s">
        <v>35</v>
      </c>
      <c r="U537" t="s">
        <v>34</v>
      </c>
      <c r="V537" t="str">
        <f>""</f>
        <v/>
      </c>
      <c r="W537">
        <v>20141106</v>
      </c>
      <c r="X537" t="s">
        <v>252</v>
      </c>
      <c r="Y537" t="s">
        <v>253</v>
      </c>
      <c r="Z537" t="s">
        <v>253</v>
      </c>
      <c r="AA537">
        <v>0</v>
      </c>
      <c r="AB537" t="s">
        <v>238</v>
      </c>
      <c r="AC537" t="s">
        <v>143</v>
      </c>
      <c r="AD537" t="s">
        <v>40</v>
      </c>
      <c r="AE537" t="str">
        <f t="shared" ref="AE537:AE568" si="141">"11"</f>
        <v>11</v>
      </c>
      <c r="AF537" t="s">
        <v>40</v>
      </c>
    </row>
    <row r="538" spans="1:32" x14ac:dyDescent="0.25">
      <c r="A538">
        <v>5</v>
      </c>
      <c r="B538">
        <v>420</v>
      </c>
      <c r="C538" t="str">
        <f>"51"</f>
        <v>51</v>
      </c>
      <c r="D538">
        <v>6299</v>
      </c>
      <c r="E538" t="str">
        <f t="shared" si="136"/>
        <v>00</v>
      </c>
      <c r="F538" t="str">
        <f t="shared" si="137"/>
        <v>999</v>
      </c>
      <c r="G538">
        <v>5</v>
      </c>
      <c r="H538" t="str">
        <f t="shared" si="138"/>
        <v>99</v>
      </c>
      <c r="I538" t="str">
        <f t="shared" si="135"/>
        <v>0</v>
      </c>
      <c r="J538" t="str">
        <f t="shared" si="140"/>
        <v>00</v>
      </c>
      <c r="K538">
        <v>20141107</v>
      </c>
      <c r="L538" t="str">
        <f>"014568"</f>
        <v>014568</v>
      </c>
      <c r="M538" t="str">
        <f>"00577"</f>
        <v>00577</v>
      </c>
      <c r="N538" t="s">
        <v>251</v>
      </c>
      <c r="O538">
        <v>63.72</v>
      </c>
      <c r="Q538" t="s">
        <v>33</v>
      </c>
      <c r="R538" t="s">
        <v>34</v>
      </c>
      <c r="S538" t="s">
        <v>35</v>
      </c>
      <c r="T538" t="s">
        <v>35</v>
      </c>
      <c r="U538" t="s">
        <v>34</v>
      </c>
      <c r="V538" t="str">
        <f>""</f>
        <v/>
      </c>
      <c r="W538">
        <v>20141106</v>
      </c>
      <c r="X538" t="s">
        <v>203</v>
      </c>
      <c r="Y538" t="s">
        <v>253</v>
      </c>
      <c r="Z538" t="s">
        <v>253</v>
      </c>
      <c r="AA538">
        <v>0</v>
      </c>
      <c r="AB538" t="s">
        <v>142</v>
      </c>
      <c r="AC538" t="s">
        <v>143</v>
      </c>
      <c r="AD538" t="s">
        <v>40</v>
      </c>
      <c r="AE538" t="str">
        <f t="shared" si="141"/>
        <v>11</v>
      </c>
      <c r="AF538" t="s">
        <v>40</v>
      </c>
    </row>
    <row r="539" spans="1:32" x14ac:dyDescent="0.25">
      <c r="A539">
        <v>5</v>
      </c>
      <c r="B539">
        <v>420</v>
      </c>
      <c r="C539" t="str">
        <f>"00"</f>
        <v>00</v>
      </c>
      <c r="D539">
        <v>2159</v>
      </c>
      <c r="E539" t="str">
        <f t="shared" si="136"/>
        <v>00</v>
      </c>
      <c r="F539" t="str">
        <f>"162"</f>
        <v>162</v>
      </c>
      <c r="G539">
        <v>5</v>
      </c>
      <c r="H539" t="str">
        <f>"00"</f>
        <v>00</v>
      </c>
      <c r="I539" t="str">
        <f t="shared" si="135"/>
        <v>0</v>
      </c>
      <c r="J539" t="str">
        <f t="shared" si="140"/>
        <v>00</v>
      </c>
      <c r="K539">
        <v>20141112</v>
      </c>
      <c r="L539" t="str">
        <f>"014569"</f>
        <v>014569</v>
      </c>
      <c r="M539" t="str">
        <f>"00012"</f>
        <v>00012</v>
      </c>
      <c r="N539" t="s">
        <v>279</v>
      </c>
      <c r="O539">
        <v>803.95</v>
      </c>
      <c r="Q539" t="s">
        <v>33</v>
      </c>
      <c r="R539" t="s">
        <v>34</v>
      </c>
      <c r="S539" t="s">
        <v>35</v>
      </c>
      <c r="T539" t="s">
        <v>35</v>
      </c>
      <c r="U539" t="s">
        <v>34</v>
      </c>
      <c r="V539" t="str">
        <f>""</f>
        <v/>
      </c>
      <c r="W539">
        <v>20141112</v>
      </c>
      <c r="X539" t="s">
        <v>486</v>
      </c>
      <c r="Y539" t="s">
        <v>487</v>
      </c>
      <c r="Z539" t="s">
        <v>487</v>
      </c>
      <c r="AA539">
        <v>0</v>
      </c>
      <c r="AB539" t="s">
        <v>142</v>
      </c>
      <c r="AC539" t="s">
        <v>488</v>
      </c>
      <c r="AD539" t="s">
        <v>144</v>
      </c>
      <c r="AE539" t="str">
        <f t="shared" si="141"/>
        <v>11</v>
      </c>
      <c r="AF539" t="s">
        <v>40</v>
      </c>
    </row>
    <row r="540" spans="1:32" x14ac:dyDescent="0.25">
      <c r="A540">
        <v>5</v>
      </c>
      <c r="B540">
        <v>420</v>
      </c>
      <c r="C540" t="str">
        <f t="shared" ref="C540:C556" si="142">"51"</f>
        <v>51</v>
      </c>
      <c r="D540">
        <v>6219</v>
      </c>
      <c r="E540" t="str">
        <f t="shared" si="136"/>
        <v>00</v>
      </c>
      <c r="F540" t="str">
        <f t="shared" ref="F540:F556" si="143">"999"</f>
        <v>999</v>
      </c>
      <c r="G540">
        <v>5</v>
      </c>
      <c r="H540" t="str">
        <f t="shared" ref="H540:H556" si="144">"99"</f>
        <v>99</v>
      </c>
      <c r="I540" t="str">
        <f t="shared" si="135"/>
        <v>0</v>
      </c>
      <c r="J540" t="str">
        <f t="shared" si="140"/>
        <v>00</v>
      </c>
      <c r="K540">
        <v>20141113</v>
      </c>
      <c r="L540" t="str">
        <f>"014570"</f>
        <v>014570</v>
      </c>
      <c r="M540" t="str">
        <f>"00676"</f>
        <v>00676</v>
      </c>
      <c r="N540" t="s">
        <v>489</v>
      </c>
      <c r="O540">
        <v>106.25</v>
      </c>
      <c r="Q540" t="s">
        <v>33</v>
      </c>
      <c r="R540" t="s">
        <v>34</v>
      </c>
      <c r="S540" t="s">
        <v>35</v>
      </c>
      <c r="T540" t="s">
        <v>35</v>
      </c>
      <c r="U540" t="s">
        <v>34</v>
      </c>
      <c r="V540" t="str">
        <f>""</f>
        <v/>
      </c>
      <c r="W540">
        <v>20141112</v>
      </c>
      <c r="X540" t="s">
        <v>183</v>
      </c>
      <c r="Y540" t="s">
        <v>490</v>
      </c>
      <c r="Z540" t="s">
        <v>490</v>
      </c>
      <c r="AA540">
        <v>0</v>
      </c>
      <c r="AB540" t="s">
        <v>142</v>
      </c>
      <c r="AC540" t="s">
        <v>143</v>
      </c>
      <c r="AD540" t="s">
        <v>40</v>
      </c>
      <c r="AE540" t="str">
        <f t="shared" si="141"/>
        <v>11</v>
      </c>
      <c r="AF540" t="s">
        <v>40</v>
      </c>
    </row>
    <row r="541" spans="1:32" x14ac:dyDescent="0.25">
      <c r="A541">
        <v>5</v>
      </c>
      <c r="B541">
        <v>420</v>
      </c>
      <c r="C541" t="str">
        <f t="shared" si="142"/>
        <v>51</v>
      </c>
      <c r="D541">
        <v>6219</v>
      </c>
      <c r="E541" t="str">
        <f t="shared" si="136"/>
        <v>00</v>
      </c>
      <c r="F541" t="str">
        <f t="shared" si="143"/>
        <v>999</v>
      </c>
      <c r="G541">
        <v>5</v>
      </c>
      <c r="H541" t="str">
        <f t="shared" si="144"/>
        <v>99</v>
      </c>
      <c r="I541" t="str">
        <f t="shared" si="135"/>
        <v>0</v>
      </c>
      <c r="J541" t="str">
        <f t="shared" si="140"/>
        <v>00</v>
      </c>
      <c r="K541">
        <v>20141113</v>
      </c>
      <c r="L541" t="str">
        <f>"014571"</f>
        <v>014571</v>
      </c>
      <c r="M541" t="str">
        <f>"00797"</f>
        <v>00797</v>
      </c>
      <c r="N541" t="s">
        <v>491</v>
      </c>
      <c r="O541" s="1">
        <v>1456.38</v>
      </c>
      <c r="Q541" t="s">
        <v>33</v>
      </c>
      <c r="R541" t="s">
        <v>34</v>
      </c>
      <c r="S541" t="s">
        <v>35</v>
      </c>
      <c r="T541" t="s">
        <v>35</v>
      </c>
      <c r="U541" t="s">
        <v>34</v>
      </c>
      <c r="V541" t="str">
        <f>""</f>
        <v/>
      </c>
      <c r="W541">
        <v>20141112</v>
      </c>
      <c r="X541" t="s">
        <v>183</v>
      </c>
      <c r="Y541" t="s">
        <v>492</v>
      </c>
      <c r="Z541" t="s">
        <v>492</v>
      </c>
      <c r="AA541">
        <v>0</v>
      </c>
      <c r="AB541" t="s">
        <v>142</v>
      </c>
      <c r="AC541" t="s">
        <v>143</v>
      </c>
      <c r="AD541" t="s">
        <v>40</v>
      </c>
      <c r="AE541" t="str">
        <f t="shared" si="141"/>
        <v>11</v>
      </c>
      <c r="AF541" t="s">
        <v>40</v>
      </c>
    </row>
    <row r="542" spans="1:32" x14ac:dyDescent="0.25">
      <c r="A542">
        <v>5</v>
      </c>
      <c r="B542">
        <v>240</v>
      </c>
      <c r="C542" t="str">
        <f t="shared" si="142"/>
        <v>51</v>
      </c>
      <c r="D542">
        <v>6319</v>
      </c>
      <c r="E542" t="str">
        <f t="shared" si="136"/>
        <v>00</v>
      </c>
      <c r="F542" t="str">
        <f t="shared" si="143"/>
        <v>999</v>
      </c>
      <c r="G542">
        <v>5</v>
      </c>
      <c r="H542" t="str">
        <f t="shared" si="144"/>
        <v>99</v>
      </c>
      <c r="I542" t="str">
        <f t="shared" si="135"/>
        <v>0</v>
      </c>
      <c r="J542" t="str">
        <f t="shared" si="140"/>
        <v>00</v>
      </c>
      <c r="K542">
        <v>20141113</v>
      </c>
      <c r="L542" t="str">
        <f t="shared" ref="L542:L556" si="145">"014572"</f>
        <v>014572</v>
      </c>
      <c r="M542" t="str">
        <f t="shared" ref="M542:M556" si="146">"00152"</f>
        <v>00152</v>
      </c>
      <c r="N542" t="s">
        <v>413</v>
      </c>
      <c r="O542">
        <v>9.67</v>
      </c>
      <c r="Q542" t="s">
        <v>33</v>
      </c>
      <c r="R542" t="s">
        <v>34</v>
      </c>
      <c r="S542" t="s">
        <v>35</v>
      </c>
      <c r="T542" t="s">
        <v>35</v>
      </c>
      <c r="U542" t="s">
        <v>34</v>
      </c>
      <c r="V542" t="str">
        <f>""</f>
        <v/>
      </c>
      <c r="W542">
        <v>20141111</v>
      </c>
      <c r="X542" t="s">
        <v>350</v>
      </c>
      <c r="Y542" t="s">
        <v>493</v>
      </c>
      <c r="Z542" t="s">
        <v>493</v>
      </c>
      <c r="AA542">
        <v>0</v>
      </c>
      <c r="AB542" t="s">
        <v>238</v>
      </c>
      <c r="AC542" t="s">
        <v>143</v>
      </c>
      <c r="AD542" t="s">
        <v>40</v>
      </c>
      <c r="AE542" t="str">
        <f t="shared" si="141"/>
        <v>11</v>
      </c>
      <c r="AF542" t="s">
        <v>40</v>
      </c>
    </row>
    <row r="543" spans="1:32" x14ac:dyDescent="0.25">
      <c r="A543">
        <v>5</v>
      </c>
      <c r="B543">
        <v>420</v>
      </c>
      <c r="C543" t="str">
        <f t="shared" si="142"/>
        <v>51</v>
      </c>
      <c r="D543">
        <v>6269</v>
      </c>
      <c r="E543" t="str">
        <f t="shared" si="136"/>
        <v>00</v>
      </c>
      <c r="F543" t="str">
        <f t="shared" si="143"/>
        <v>999</v>
      </c>
      <c r="G543">
        <v>5</v>
      </c>
      <c r="H543" t="str">
        <f t="shared" si="144"/>
        <v>99</v>
      </c>
      <c r="I543" t="str">
        <f t="shared" si="135"/>
        <v>0</v>
      </c>
      <c r="J543" t="str">
        <f t="shared" si="140"/>
        <v>00</v>
      </c>
      <c r="K543">
        <v>20141113</v>
      </c>
      <c r="L543" t="str">
        <f t="shared" si="145"/>
        <v>014572</v>
      </c>
      <c r="M543" t="str">
        <f t="shared" si="146"/>
        <v>00152</v>
      </c>
      <c r="N543" t="s">
        <v>413</v>
      </c>
      <c r="O543">
        <v>300</v>
      </c>
      <c r="Q543" t="s">
        <v>33</v>
      </c>
      <c r="R543" t="s">
        <v>34</v>
      </c>
      <c r="S543" t="s">
        <v>35</v>
      </c>
      <c r="T543" t="s">
        <v>35</v>
      </c>
      <c r="U543" t="s">
        <v>34</v>
      </c>
      <c r="V543" t="str">
        <f>""</f>
        <v/>
      </c>
      <c r="W543">
        <v>20141111</v>
      </c>
      <c r="X543" t="s">
        <v>225</v>
      </c>
      <c r="Y543" t="s">
        <v>494</v>
      </c>
      <c r="Z543" t="s">
        <v>494</v>
      </c>
      <c r="AA543">
        <v>0</v>
      </c>
      <c r="AB543" t="s">
        <v>142</v>
      </c>
      <c r="AC543" t="s">
        <v>143</v>
      </c>
      <c r="AD543" t="s">
        <v>40</v>
      </c>
      <c r="AE543" t="str">
        <f t="shared" si="141"/>
        <v>11</v>
      </c>
      <c r="AF543" t="s">
        <v>40</v>
      </c>
    </row>
    <row r="544" spans="1:32" x14ac:dyDescent="0.25">
      <c r="A544">
        <v>5</v>
      </c>
      <c r="B544">
        <v>420</v>
      </c>
      <c r="C544" t="str">
        <f t="shared" si="142"/>
        <v>51</v>
      </c>
      <c r="D544">
        <v>6319</v>
      </c>
      <c r="E544" t="str">
        <f t="shared" si="136"/>
        <v>00</v>
      </c>
      <c r="F544" t="str">
        <f t="shared" si="143"/>
        <v>999</v>
      </c>
      <c r="G544">
        <v>5</v>
      </c>
      <c r="H544" t="str">
        <f t="shared" si="144"/>
        <v>99</v>
      </c>
      <c r="I544" t="str">
        <f t="shared" si="135"/>
        <v>0</v>
      </c>
      <c r="J544" t="str">
        <f t="shared" si="140"/>
        <v>00</v>
      </c>
      <c r="K544">
        <v>20141113</v>
      </c>
      <c r="L544" t="str">
        <f t="shared" si="145"/>
        <v>014572</v>
      </c>
      <c r="M544" t="str">
        <f t="shared" si="146"/>
        <v>00152</v>
      </c>
      <c r="N544" t="s">
        <v>413</v>
      </c>
      <c r="O544">
        <v>38.01</v>
      </c>
      <c r="Q544" t="s">
        <v>33</v>
      </c>
      <c r="R544" t="s">
        <v>34</v>
      </c>
      <c r="S544" t="s">
        <v>35</v>
      </c>
      <c r="T544" t="s">
        <v>35</v>
      </c>
      <c r="U544" t="s">
        <v>34</v>
      </c>
      <c r="V544" t="str">
        <f>""</f>
        <v/>
      </c>
      <c r="W544">
        <v>20141111</v>
      </c>
      <c r="X544" t="s">
        <v>185</v>
      </c>
      <c r="Y544" t="s">
        <v>493</v>
      </c>
      <c r="Z544" t="s">
        <v>493</v>
      </c>
      <c r="AA544">
        <v>0</v>
      </c>
      <c r="AB544" t="s">
        <v>142</v>
      </c>
      <c r="AC544" t="s">
        <v>143</v>
      </c>
      <c r="AD544" t="s">
        <v>40</v>
      </c>
      <c r="AE544" t="str">
        <f t="shared" si="141"/>
        <v>11</v>
      </c>
      <c r="AF544" t="s">
        <v>40</v>
      </c>
    </row>
    <row r="545" spans="1:32" x14ac:dyDescent="0.25">
      <c r="A545">
        <v>5</v>
      </c>
      <c r="B545">
        <v>420</v>
      </c>
      <c r="C545" t="str">
        <f t="shared" si="142"/>
        <v>51</v>
      </c>
      <c r="D545">
        <v>6319</v>
      </c>
      <c r="E545" t="str">
        <f t="shared" si="136"/>
        <v>00</v>
      </c>
      <c r="F545" t="str">
        <f t="shared" si="143"/>
        <v>999</v>
      </c>
      <c r="G545">
        <v>5</v>
      </c>
      <c r="H545" t="str">
        <f t="shared" si="144"/>
        <v>99</v>
      </c>
      <c r="I545" t="str">
        <f t="shared" si="135"/>
        <v>0</v>
      </c>
      <c r="J545" t="str">
        <f t="shared" si="140"/>
        <v>00</v>
      </c>
      <c r="K545">
        <v>20141113</v>
      </c>
      <c r="L545" t="str">
        <f t="shared" si="145"/>
        <v>014572</v>
      </c>
      <c r="M545" t="str">
        <f t="shared" si="146"/>
        <v>00152</v>
      </c>
      <c r="N545" t="s">
        <v>413</v>
      </c>
      <c r="O545">
        <v>62.34</v>
      </c>
      <c r="Q545" t="s">
        <v>33</v>
      </c>
      <c r="R545" t="s">
        <v>34</v>
      </c>
      <c r="S545" t="s">
        <v>35</v>
      </c>
      <c r="T545" t="s">
        <v>35</v>
      </c>
      <c r="U545" t="s">
        <v>34</v>
      </c>
      <c r="V545" t="str">
        <f>""</f>
        <v/>
      </c>
      <c r="W545">
        <v>20141111</v>
      </c>
      <c r="X545" t="s">
        <v>185</v>
      </c>
      <c r="Y545" t="s">
        <v>495</v>
      </c>
      <c r="Z545" t="s">
        <v>495</v>
      </c>
      <c r="AA545">
        <v>0</v>
      </c>
      <c r="AB545" t="s">
        <v>142</v>
      </c>
      <c r="AC545" t="s">
        <v>143</v>
      </c>
      <c r="AD545" t="s">
        <v>40</v>
      </c>
      <c r="AE545" t="str">
        <f t="shared" si="141"/>
        <v>11</v>
      </c>
      <c r="AF545" t="s">
        <v>40</v>
      </c>
    </row>
    <row r="546" spans="1:32" x14ac:dyDescent="0.25">
      <c r="A546">
        <v>5</v>
      </c>
      <c r="B546">
        <v>420</v>
      </c>
      <c r="C546" t="str">
        <f t="shared" si="142"/>
        <v>51</v>
      </c>
      <c r="D546">
        <v>6319</v>
      </c>
      <c r="E546" t="str">
        <f t="shared" si="136"/>
        <v>00</v>
      </c>
      <c r="F546" t="str">
        <f t="shared" si="143"/>
        <v>999</v>
      </c>
      <c r="G546">
        <v>5</v>
      </c>
      <c r="H546" t="str">
        <f t="shared" si="144"/>
        <v>99</v>
      </c>
      <c r="I546" t="str">
        <f t="shared" si="135"/>
        <v>0</v>
      </c>
      <c r="J546" t="str">
        <f t="shared" si="140"/>
        <v>00</v>
      </c>
      <c r="K546">
        <v>20141113</v>
      </c>
      <c r="L546" t="str">
        <f t="shared" si="145"/>
        <v>014572</v>
      </c>
      <c r="M546" t="str">
        <f t="shared" si="146"/>
        <v>00152</v>
      </c>
      <c r="N546" t="s">
        <v>413</v>
      </c>
      <c r="O546">
        <v>8.2899999999999991</v>
      </c>
      <c r="Q546" t="s">
        <v>33</v>
      </c>
      <c r="R546" t="s">
        <v>34</v>
      </c>
      <c r="S546" t="s">
        <v>35</v>
      </c>
      <c r="T546" t="s">
        <v>35</v>
      </c>
      <c r="U546" t="s">
        <v>34</v>
      </c>
      <c r="V546" t="str">
        <f>""</f>
        <v/>
      </c>
      <c r="W546">
        <v>20141111</v>
      </c>
      <c r="X546" t="s">
        <v>185</v>
      </c>
      <c r="Y546" t="s">
        <v>496</v>
      </c>
      <c r="Z546" t="s">
        <v>496</v>
      </c>
      <c r="AA546">
        <v>0</v>
      </c>
      <c r="AB546" t="s">
        <v>142</v>
      </c>
      <c r="AC546" t="s">
        <v>143</v>
      </c>
      <c r="AD546" t="s">
        <v>40</v>
      </c>
      <c r="AE546" t="str">
        <f t="shared" si="141"/>
        <v>11</v>
      </c>
      <c r="AF546" t="s">
        <v>40</v>
      </c>
    </row>
    <row r="547" spans="1:32" x14ac:dyDescent="0.25">
      <c r="A547">
        <v>5</v>
      </c>
      <c r="B547">
        <v>420</v>
      </c>
      <c r="C547" t="str">
        <f t="shared" si="142"/>
        <v>51</v>
      </c>
      <c r="D547">
        <v>6319</v>
      </c>
      <c r="E547" t="str">
        <f t="shared" si="136"/>
        <v>00</v>
      </c>
      <c r="F547" t="str">
        <f t="shared" si="143"/>
        <v>999</v>
      </c>
      <c r="G547">
        <v>5</v>
      </c>
      <c r="H547" t="str">
        <f t="shared" si="144"/>
        <v>99</v>
      </c>
      <c r="I547" t="str">
        <f t="shared" si="135"/>
        <v>0</v>
      </c>
      <c r="J547" t="str">
        <f t="shared" si="140"/>
        <v>00</v>
      </c>
      <c r="K547">
        <v>20141113</v>
      </c>
      <c r="L547" t="str">
        <f t="shared" si="145"/>
        <v>014572</v>
      </c>
      <c r="M547" t="str">
        <f t="shared" si="146"/>
        <v>00152</v>
      </c>
      <c r="N547" t="s">
        <v>413</v>
      </c>
      <c r="O547">
        <v>13.97</v>
      </c>
      <c r="Q547" t="s">
        <v>33</v>
      </c>
      <c r="R547" t="s">
        <v>34</v>
      </c>
      <c r="S547" t="s">
        <v>35</v>
      </c>
      <c r="T547" t="s">
        <v>35</v>
      </c>
      <c r="U547" t="s">
        <v>34</v>
      </c>
      <c r="V547" t="str">
        <f>""</f>
        <v/>
      </c>
      <c r="W547">
        <v>20141111</v>
      </c>
      <c r="X547" t="s">
        <v>185</v>
      </c>
      <c r="Y547" t="s">
        <v>496</v>
      </c>
      <c r="Z547" t="s">
        <v>496</v>
      </c>
      <c r="AA547">
        <v>0</v>
      </c>
      <c r="AB547" t="s">
        <v>142</v>
      </c>
      <c r="AC547" t="s">
        <v>143</v>
      </c>
      <c r="AD547" t="s">
        <v>40</v>
      </c>
      <c r="AE547" t="str">
        <f t="shared" si="141"/>
        <v>11</v>
      </c>
      <c r="AF547" t="s">
        <v>40</v>
      </c>
    </row>
    <row r="548" spans="1:32" x14ac:dyDescent="0.25">
      <c r="A548">
        <v>5</v>
      </c>
      <c r="B548">
        <v>420</v>
      </c>
      <c r="C548" t="str">
        <f t="shared" si="142"/>
        <v>51</v>
      </c>
      <c r="D548">
        <v>6319</v>
      </c>
      <c r="E548" t="str">
        <f t="shared" si="136"/>
        <v>00</v>
      </c>
      <c r="F548" t="str">
        <f t="shared" si="143"/>
        <v>999</v>
      </c>
      <c r="G548">
        <v>5</v>
      </c>
      <c r="H548" t="str">
        <f t="shared" si="144"/>
        <v>99</v>
      </c>
      <c r="I548" t="str">
        <f t="shared" si="135"/>
        <v>0</v>
      </c>
      <c r="J548" t="str">
        <f t="shared" si="140"/>
        <v>00</v>
      </c>
      <c r="K548">
        <v>20141113</v>
      </c>
      <c r="L548" t="str">
        <f t="shared" si="145"/>
        <v>014572</v>
      </c>
      <c r="M548" t="str">
        <f t="shared" si="146"/>
        <v>00152</v>
      </c>
      <c r="N548" t="s">
        <v>413</v>
      </c>
      <c r="O548">
        <v>96.8</v>
      </c>
      <c r="Q548" t="s">
        <v>33</v>
      </c>
      <c r="R548" t="s">
        <v>34</v>
      </c>
      <c r="S548" t="s">
        <v>35</v>
      </c>
      <c r="T548" t="s">
        <v>35</v>
      </c>
      <c r="U548" t="s">
        <v>34</v>
      </c>
      <c r="V548" t="str">
        <f>""</f>
        <v/>
      </c>
      <c r="W548">
        <v>20141111</v>
      </c>
      <c r="X548" t="s">
        <v>185</v>
      </c>
      <c r="Y548" t="s">
        <v>496</v>
      </c>
      <c r="Z548" t="s">
        <v>496</v>
      </c>
      <c r="AA548">
        <v>0</v>
      </c>
      <c r="AB548" t="s">
        <v>142</v>
      </c>
      <c r="AC548" t="s">
        <v>143</v>
      </c>
      <c r="AD548" t="s">
        <v>40</v>
      </c>
      <c r="AE548" t="str">
        <f t="shared" si="141"/>
        <v>11</v>
      </c>
      <c r="AF548" t="s">
        <v>40</v>
      </c>
    </row>
    <row r="549" spans="1:32" x14ac:dyDescent="0.25">
      <c r="A549">
        <v>5</v>
      </c>
      <c r="B549">
        <v>420</v>
      </c>
      <c r="C549" t="str">
        <f t="shared" si="142"/>
        <v>51</v>
      </c>
      <c r="D549">
        <v>6319</v>
      </c>
      <c r="E549" t="str">
        <f t="shared" si="136"/>
        <v>00</v>
      </c>
      <c r="F549" t="str">
        <f t="shared" si="143"/>
        <v>999</v>
      </c>
      <c r="G549">
        <v>5</v>
      </c>
      <c r="H549" t="str">
        <f t="shared" si="144"/>
        <v>99</v>
      </c>
      <c r="I549" t="str">
        <f t="shared" si="135"/>
        <v>0</v>
      </c>
      <c r="J549" t="str">
        <f t="shared" si="140"/>
        <v>00</v>
      </c>
      <c r="K549">
        <v>20141113</v>
      </c>
      <c r="L549" t="str">
        <f t="shared" si="145"/>
        <v>014572</v>
      </c>
      <c r="M549" t="str">
        <f t="shared" si="146"/>
        <v>00152</v>
      </c>
      <c r="N549" t="s">
        <v>413</v>
      </c>
      <c r="O549">
        <v>100.5</v>
      </c>
      <c r="Q549" t="s">
        <v>33</v>
      </c>
      <c r="R549" t="s">
        <v>34</v>
      </c>
      <c r="S549" t="s">
        <v>35</v>
      </c>
      <c r="T549" t="s">
        <v>35</v>
      </c>
      <c r="U549" t="s">
        <v>34</v>
      </c>
      <c r="V549" t="str">
        <f>""</f>
        <v/>
      </c>
      <c r="W549">
        <v>20141111</v>
      </c>
      <c r="X549" t="s">
        <v>185</v>
      </c>
      <c r="Y549" t="s">
        <v>496</v>
      </c>
      <c r="Z549" t="s">
        <v>496</v>
      </c>
      <c r="AA549">
        <v>0</v>
      </c>
      <c r="AB549" t="s">
        <v>142</v>
      </c>
      <c r="AC549" t="s">
        <v>143</v>
      </c>
      <c r="AD549" t="s">
        <v>40</v>
      </c>
      <c r="AE549" t="str">
        <f t="shared" si="141"/>
        <v>11</v>
      </c>
      <c r="AF549" t="s">
        <v>40</v>
      </c>
    </row>
    <row r="550" spans="1:32" x14ac:dyDescent="0.25">
      <c r="A550">
        <v>5</v>
      </c>
      <c r="B550">
        <v>420</v>
      </c>
      <c r="C550" t="str">
        <f t="shared" si="142"/>
        <v>51</v>
      </c>
      <c r="D550">
        <v>6319</v>
      </c>
      <c r="E550" t="str">
        <f t="shared" si="136"/>
        <v>00</v>
      </c>
      <c r="F550" t="str">
        <f t="shared" si="143"/>
        <v>999</v>
      </c>
      <c r="G550">
        <v>5</v>
      </c>
      <c r="H550" t="str">
        <f t="shared" si="144"/>
        <v>99</v>
      </c>
      <c r="I550" t="str">
        <f t="shared" si="135"/>
        <v>0</v>
      </c>
      <c r="J550" t="str">
        <f t="shared" si="140"/>
        <v>00</v>
      </c>
      <c r="K550">
        <v>20141113</v>
      </c>
      <c r="L550" t="str">
        <f t="shared" si="145"/>
        <v>014572</v>
      </c>
      <c r="M550" t="str">
        <f t="shared" si="146"/>
        <v>00152</v>
      </c>
      <c r="N550" t="s">
        <v>413</v>
      </c>
      <c r="O550">
        <v>16.34</v>
      </c>
      <c r="Q550" t="s">
        <v>33</v>
      </c>
      <c r="R550" t="s">
        <v>34</v>
      </c>
      <c r="S550" t="s">
        <v>35</v>
      </c>
      <c r="T550" t="s">
        <v>35</v>
      </c>
      <c r="U550" t="s">
        <v>34</v>
      </c>
      <c r="V550" t="str">
        <f>""</f>
        <v/>
      </c>
      <c r="W550">
        <v>20141111</v>
      </c>
      <c r="X550" t="s">
        <v>185</v>
      </c>
      <c r="Y550" t="s">
        <v>496</v>
      </c>
      <c r="Z550" t="s">
        <v>496</v>
      </c>
      <c r="AA550">
        <v>0</v>
      </c>
      <c r="AB550" t="s">
        <v>142</v>
      </c>
      <c r="AC550" t="s">
        <v>143</v>
      </c>
      <c r="AD550" t="s">
        <v>40</v>
      </c>
      <c r="AE550" t="str">
        <f t="shared" si="141"/>
        <v>11</v>
      </c>
      <c r="AF550" t="s">
        <v>40</v>
      </c>
    </row>
    <row r="551" spans="1:32" x14ac:dyDescent="0.25">
      <c r="A551">
        <v>5</v>
      </c>
      <c r="B551">
        <v>420</v>
      </c>
      <c r="C551" t="str">
        <f t="shared" si="142"/>
        <v>51</v>
      </c>
      <c r="D551">
        <v>6319</v>
      </c>
      <c r="E551" t="str">
        <f t="shared" si="136"/>
        <v>00</v>
      </c>
      <c r="F551" t="str">
        <f t="shared" si="143"/>
        <v>999</v>
      </c>
      <c r="G551">
        <v>5</v>
      </c>
      <c r="H551" t="str">
        <f t="shared" si="144"/>
        <v>99</v>
      </c>
      <c r="I551" t="str">
        <f t="shared" si="135"/>
        <v>0</v>
      </c>
      <c r="J551" t="str">
        <f t="shared" si="140"/>
        <v>00</v>
      </c>
      <c r="K551">
        <v>20141113</v>
      </c>
      <c r="L551" t="str">
        <f t="shared" si="145"/>
        <v>014572</v>
      </c>
      <c r="M551" t="str">
        <f t="shared" si="146"/>
        <v>00152</v>
      </c>
      <c r="N551" t="s">
        <v>413</v>
      </c>
      <c r="O551">
        <v>52.77</v>
      </c>
      <c r="Q551" t="s">
        <v>33</v>
      </c>
      <c r="R551" t="s">
        <v>34</v>
      </c>
      <c r="S551" t="s">
        <v>35</v>
      </c>
      <c r="T551" t="s">
        <v>35</v>
      </c>
      <c r="U551" t="s">
        <v>34</v>
      </c>
      <c r="V551" t="str">
        <f>""</f>
        <v/>
      </c>
      <c r="W551">
        <v>20141111</v>
      </c>
      <c r="X551" t="s">
        <v>185</v>
      </c>
      <c r="Y551" t="s">
        <v>497</v>
      </c>
      <c r="Z551" t="s">
        <v>497</v>
      </c>
      <c r="AA551">
        <v>0</v>
      </c>
      <c r="AB551" t="s">
        <v>142</v>
      </c>
      <c r="AC551" t="s">
        <v>143</v>
      </c>
      <c r="AD551" t="s">
        <v>40</v>
      </c>
      <c r="AE551" t="str">
        <f t="shared" si="141"/>
        <v>11</v>
      </c>
      <c r="AF551" t="s">
        <v>40</v>
      </c>
    </row>
    <row r="552" spans="1:32" x14ac:dyDescent="0.25">
      <c r="A552">
        <v>5</v>
      </c>
      <c r="B552">
        <v>420</v>
      </c>
      <c r="C552" t="str">
        <f t="shared" si="142"/>
        <v>51</v>
      </c>
      <c r="D552">
        <v>6319</v>
      </c>
      <c r="E552" t="str">
        <f t="shared" si="136"/>
        <v>00</v>
      </c>
      <c r="F552" t="str">
        <f t="shared" si="143"/>
        <v>999</v>
      </c>
      <c r="G552">
        <v>5</v>
      </c>
      <c r="H552" t="str">
        <f t="shared" si="144"/>
        <v>99</v>
      </c>
      <c r="I552" t="str">
        <f t="shared" si="135"/>
        <v>0</v>
      </c>
      <c r="J552" t="str">
        <f t="shared" si="140"/>
        <v>00</v>
      </c>
      <c r="K552">
        <v>20141113</v>
      </c>
      <c r="L552" t="str">
        <f t="shared" si="145"/>
        <v>014572</v>
      </c>
      <c r="M552" t="str">
        <f t="shared" si="146"/>
        <v>00152</v>
      </c>
      <c r="N552" t="s">
        <v>413</v>
      </c>
      <c r="O552">
        <v>36.840000000000003</v>
      </c>
      <c r="Q552" t="s">
        <v>33</v>
      </c>
      <c r="R552" t="s">
        <v>34</v>
      </c>
      <c r="S552" t="s">
        <v>35</v>
      </c>
      <c r="T552" t="s">
        <v>35</v>
      </c>
      <c r="U552" t="s">
        <v>34</v>
      </c>
      <c r="V552" t="str">
        <f>""</f>
        <v/>
      </c>
      <c r="W552">
        <v>20141111</v>
      </c>
      <c r="X552" t="s">
        <v>185</v>
      </c>
      <c r="Y552" t="s">
        <v>497</v>
      </c>
      <c r="Z552" t="s">
        <v>497</v>
      </c>
      <c r="AA552">
        <v>0</v>
      </c>
      <c r="AB552" t="s">
        <v>142</v>
      </c>
      <c r="AC552" t="s">
        <v>143</v>
      </c>
      <c r="AD552" t="s">
        <v>40</v>
      </c>
      <c r="AE552" t="str">
        <f t="shared" si="141"/>
        <v>11</v>
      </c>
      <c r="AF552" t="s">
        <v>40</v>
      </c>
    </row>
    <row r="553" spans="1:32" x14ac:dyDescent="0.25">
      <c r="A553">
        <v>5</v>
      </c>
      <c r="B553">
        <v>420</v>
      </c>
      <c r="C553" t="str">
        <f t="shared" si="142"/>
        <v>51</v>
      </c>
      <c r="D553">
        <v>6319</v>
      </c>
      <c r="E553" t="str">
        <f t="shared" si="136"/>
        <v>00</v>
      </c>
      <c r="F553" t="str">
        <f t="shared" si="143"/>
        <v>999</v>
      </c>
      <c r="G553">
        <v>5</v>
      </c>
      <c r="H553" t="str">
        <f t="shared" si="144"/>
        <v>99</v>
      </c>
      <c r="I553" t="str">
        <f t="shared" si="135"/>
        <v>0</v>
      </c>
      <c r="J553" t="str">
        <f t="shared" si="140"/>
        <v>00</v>
      </c>
      <c r="K553">
        <v>20141113</v>
      </c>
      <c r="L553" t="str">
        <f t="shared" si="145"/>
        <v>014572</v>
      </c>
      <c r="M553" t="str">
        <f t="shared" si="146"/>
        <v>00152</v>
      </c>
      <c r="N553" t="s">
        <v>413</v>
      </c>
      <c r="O553">
        <v>162.24</v>
      </c>
      <c r="Q553" t="s">
        <v>33</v>
      </c>
      <c r="R553" t="s">
        <v>34</v>
      </c>
      <c r="S553" t="s">
        <v>35</v>
      </c>
      <c r="T553" t="s">
        <v>35</v>
      </c>
      <c r="U553" t="s">
        <v>34</v>
      </c>
      <c r="V553" t="str">
        <f>""</f>
        <v/>
      </c>
      <c r="W553">
        <v>20141111</v>
      </c>
      <c r="X553" t="s">
        <v>185</v>
      </c>
      <c r="Y553" t="s">
        <v>493</v>
      </c>
      <c r="Z553" t="s">
        <v>493</v>
      </c>
      <c r="AA553">
        <v>0</v>
      </c>
      <c r="AB553" t="s">
        <v>142</v>
      </c>
      <c r="AC553" t="s">
        <v>143</v>
      </c>
      <c r="AD553" t="s">
        <v>40</v>
      </c>
      <c r="AE553" t="str">
        <f t="shared" si="141"/>
        <v>11</v>
      </c>
      <c r="AF553" t="s">
        <v>40</v>
      </c>
    </row>
    <row r="554" spans="1:32" x14ac:dyDescent="0.25">
      <c r="A554">
        <v>5</v>
      </c>
      <c r="B554">
        <v>420</v>
      </c>
      <c r="C554" t="str">
        <f t="shared" si="142"/>
        <v>51</v>
      </c>
      <c r="D554">
        <v>6319</v>
      </c>
      <c r="E554" t="str">
        <f t="shared" si="136"/>
        <v>00</v>
      </c>
      <c r="F554" t="str">
        <f t="shared" si="143"/>
        <v>999</v>
      </c>
      <c r="G554">
        <v>5</v>
      </c>
      <c r="H554" t="str">
        <f t="shared" si="144"/>
        <v>99</v>
      </c>
      <c r="I554" t="str">
        <f t="shared" si="135"/>
        <v>0</v>
      </c>
      <c r="J554" t="str">
        <f t="shared" si="140"/>
        <v>00</v>
      </c>
      <c r="K554">
        <v>20141113</v>
      </c>
      <c r="L554" t="str">
        <f t="shared" si="145"/>
        <v>014572</v>
      </c>
      <c r="M554" t="str">
        <f t="shared" si="146"/>
        <v>00152</v>
      </c>
      <c r="N554" t="s">
        <v>413</v>
      </c>
      <c r="O554">
        <v>203.8</v>
      </c>
      <c r="Q554" t="s">
        <v>33</v>
      </c>
      <c r="R554" t="s">
        <v>34</v>
      </c>
      <c r="S554" t="s">
        <v>35</v>
      </c>
      <c r="T554" t="s">
        <v>35</v>
      </c>
      <c r="U554" t="s">
        <v>34</v>
      </c>
      <c r="V554" t="str">
        <f>""</f>
        <v/>
      </c>
      <c r="W554">
        <v>20141111</v>
      </c>
      <c r="X554" t="s">
        <v>185</v>
      </c>
      <c r="Y554" t="s">
        <v>493</v>
      </c>
      <c r="Z554" t="s">
        <v>493</v>
      </c>
      <c r="AA554">
        <v>0</v>
      </c>
      <c r="AB554" t="s">
        <v>142</v>
      </c>
      <c r="AC554" t="s">
        <v>143</v>
      </c>
      <c r="AD554" t="s">
        <v>40</v>
      </c>
      <c r="AE554" t="str">
        <f t="shared" si="141"/>
        <v>11</v>
      </c>
      <c r="AF554" t="s">
        <v>40</v>
      </c>
    </row>
    <row r="555" spans="1:32" x14ac:dyDescent="0.25">
      <c r="A555">
        <v>5</v>
      </c>
      <c r="B555">
        <v>420</v>
      </c>
      <c r="C555" t="str">
        <f t="shared" si="142"/>
        <v>51</v>
      </c>
      <c r="D555">
        <v>6319</v>
      </c>
      <c r="E555" t="str">
        <f t="shared" si="136"/>
        <v>00</v>
      </c>
      <c r="F555" t="str">
        <f t="shared" si="143"/>
        <v>999</v>
      </c>
      <c r="G555">
        <v>5</v>
      </c>
      <c r="H555" t="str">
        <f t="shared" si="144"/>
        <v>99</v>
      </c>
      <c r="I555" t="str">
        <f t="shared" si="135"/>
        <v>0</v>
      </c>
      <c r="J555" t="str">
        <f t="shared" si="140"/>
        <v>00</v>
      </c>
      <c r="K555">
        <v>20141113</v>
      </c>
      <c r="L555" t="str">
        <f t="shared" si="145"/>
        <v>014572</v>
      </c>
      <c r="M555" t="str">
        <f t="shared" si="146"/>
        <v>00152</v>
      </c>
      <c r="N555" t="s">
        <v>413</v>
      </c>
      <c r="O555">
        <v>22.68</v>
      </c>
      <c r="Q555" t="s">
        <v>33</v>
      </c>
      <c r="R555" t="s">
        <v>34</v>
      </c>
      <c r="S555" t="s">
        <v>35</v>
      </c>
      <c r="T555" t="s">
        <v>35</v>
      </c>
      <c r="U555" t="s">
        <v>34</v>
      </c>
      <c r="V555" t="str">
        <f>""</f>
        <v/>
      </c>
      <c r="W555">
        <v>20141111</v>
      </c>
      <c r="X555" t="s">
        <v>185</v>
      </c>
      <c r="Y555" t="s">
        <v>493</v>
      </c>
      <c r="Z555" t="s">
        <v>493</v>
      </c>
      <c r="AA555">
        <v>0</v>
      </c>
      <c r="AB555" t="s">
        <v>142</v>
      </c>
      <c r="AC555" t="s">
        <v>143</v>
      </c>
      <c r="AD555" t="s">
        <v>40</v>
      </c>
      <c r="AE555" t="str">
        <f t="shared" si="141"/>
        <v>11</v>
      </c>
      <c r="AF555" t="s">
        <v>40</v>
      </c>
    </row>
    <row r="556" spans="1:32" x14ac:dyDescent="0.25">
      <c r="A556">
        <v>5</v>
      </c>
      <c r="B556">
        <v>420</v>
      </c>
      <c r="C556" t="str">
        <f t="shared" si="142"/>
        <v>51</v>
      </c>
      <c r="D556">
        <v>6319</v>
      </c>
      <c r="E556" t="str">
        <f t="shared" si="136"/>
        <v>00</v>
      </c>
      <c r="F556" t="str">
        <f t="shared" si="143"/>
        <v>999</v>
      </c>
      <c r="G556">
        <v>5</v>
      </c>
      <c r="H556" t="str">
        <f t="shared" si="144"/>
        <v>99</v>
      </c>
      <c r="I556" t="str">
        <f t="shared" si="135"/>
        <v>0</v>
      </c>
      <c r="J556" t="str">
        <f t="shared" si="140"/>
        <v>00</v>
      </c>
      <c r="K556">
        <v>20141113</v>
      </c>
      <c r="L556" t="str">
        <f t="shared" si="145"/>
        <v>014572</v>
      </c>
      <c r="M556" t="str">
        <f t="shared" si="146"/>
        <v>00152</v>
      </c>
      <c r="N556" t="s">
        <v>413</v>
      </c>
      <c r="O556">
        <v>23.2</v>
      </c>
      <c r="Q556" t="s">
        <v>33</v>
      </c>
      <c r="R556" t="s">
        <v>34</v>
      </c>
      <c r="S556" t="s">
        <v>35</v>
      </c>
      <c r="T556" t="s">
        <v>35</v>
      </c>
      <c r="U556" t="s">
        <v>34</v>
      </c>
      <c r="V556" t="str">
        <f>""</f>
        <v/>
      </c>
      <c r="W556">
        <v>20141111</v>
      </c>
      <c r="X556" t="s">
        <v>185</v>
      </c>
      <c r="Y556" t="s">
        <v>498</v>
      </c>
      <c r="Z556" t="s">
        <v>498</v>
      </c>
      <c r="AA556">
        <v>0</v>
      </c>
      <c r="AB556" t="s">
        <v>142</v>
      </c>
      <c r="AC556" t="s">
        <v>143</v>
      </c>
      <c r="AD556" t="s">
        <v>40</v>
      </c>
      <c r="AE556" t="str">
        <f t="shared" si="141"/>
        <v>11</v>
      </c>
      <c r="AF556" t="s">
        <v>40</v>
      </c>
    </row>
    <row r="557" spans="1:32" x14ac:dyDescent="0.25">
      <c r="A557">
        <v>5</v>
      </c>
      <c r="B557">
        <v>211</v>
      </c>
      <c r="C557" t="str">
        <f>"11"</f>
        <v>11</v>
      </c>
      <c r="D557">
        <v>6399</v>
      </c>
      <c r="E557" t="str">
        <f t="shared" si="136"/>
        <v>00</v>
      </c>
      <c r="F557" t="str">
        <f>"101"</f>
        <v>101</v>
      </c>
      <c r="G557">
        <v>5</v>
      </c>
      <c r="H557" t="str">
        <f>"30"</f>
        <v>30</v>
      </c>
      <c r="I557" t="str">
        <f t="shared" si="135"/>
        <v>0</v>
      </c>
      <c r="J557" t="str">
        <f t="shared" si="140"/>
        <v>00</v>
      </c>
      <c r="K557">
        <v>20141113</v>
      </c>
      <c r="L557" t="str">
        <f>"014573"</f>
        <v>014573</v>
      </c>
      <c r="M557" t="str">
        <f>"00799"</f>
        <v>00799</v>
      </c>
      <c r="N557" t="s">
        <v>499</v>
      </c>
      <c r="O557">
        <v>273.58</v>
      </c>
      <c r="Q557" t="s">
        <v>33</v>
      </c>
      <c r="R557" t="s">
        <v>34</v>
      </c>
      <c r="S557" t="s">
        <v>35</v>
      </c>
      <c r="T557" t="s">
        <v>35</v>
      </c>
      <c r="U557" t="s">
        <v>34</v>
      </c>
      <c r="V557" t="str">
        <f>""</f>
        <v/>
      </c>
      <c r="W557">
        <v>20141113</v>
      </c>
      <c r="X557" t="s">
        <v>422</v>
      </c>
      <c r="Y557" t="s">
        <v>500</v>
      </c>
      <c r="Z557" t="s">
        <v>500</v>
      </c>
      <c r="AA557">
        <v>0</v>
      </c>
      <c r="AB557" t="s">
        <v>174</v>
      </c>
      <c r="AC557" t="s">
        <v>41</v>
      </c>
      <c r="AD557" t="s">
        <v>40</v>
      </c>
      <c r="AE557" t="str">
        <f t="shared" si="141"/>
        <v>11</v>
      </c>
      <c r="AF557" t="s">
        <v>40</v>
      </c>
    </row>
    <row r="558" spans="1:32" x14ac:dyDescent="0.25">
      <c r="A558">
        <v>5</v>
      </c>
      <c r="B558">
        <v>420</v>
      </c>
      <c r="C558" t="str">
        <f>"51"</f>
        <v>51</v>
      </c>
      <c r="D558">
        <v>6269</v>
      </c>
      <c r="E558" t="str">
        <f t="shared" si="136"/>
        <v>00</v>
      </c>
      <c r="F558" t="str">
        <f>"999"</f>
        <v>999</v>
      </c>
      <c r="G558">
        <v>5</v>
      </c>
      <c r="H558" t="str">
        <f>"99"</f>
        <v>99</v>
      </c>
      <c r="I558" t="str">
        <f t="shared" si="135"/>
        <v>0</v>
      </c>
      <c r="J558" t="str">
        <f t="shared" si="140"/>
        <v>00</v>
      </c>
      <c r="K558">
        <v>20141113</v>
      </c>
      <c r="L558" t="str">
        <f>"014574"</f>
        <v>014574</v>
      </c>
      <c r="M558" t="str">
        <f>"00389"</f>
        <v>00389</v>
      </c>
      <c r="N558" t="s">
        <v>224</v>
      </c>
      <c r="O558">
        <v>135</v>
      </c>
      <c r="Q558" t="s">
        <v>33</v>
      </c>
      <c r="R558" t="s">
        <v>34</v>
      </c>
      <c r="S558" t="s">
        <v>35</v>
      </c>
      <c r="T558" t="s">
        <v>35</v>
      </c>
      <c r="U558" t="s">
        <v>34</v>
      </c>
      <c r="V558" t="str">
        <f>""</f>
        <v/>
      </c>
      <c r="W558">
        <v>20141112</v>
      </c>
      <c r="X558" t="s">
        <v>225</v>
      </c>
      <c r="Y558" t="s">
        <v>226</v>
      </c>
      <c r="Z558" t="s">
        <v>226</v>
      </c>
      <c r="AA558">
        <v>0</v>
      </c>
      <c r="AB558" t="s">
        <v>142</v>
      </c>
      <c r="AC558" t="s">
        <v>143</v>
      </c>
      <c r="AD558" t="s">
        <v>40</v>
      </c>
      <c r="AE558" t="str">
        <f t="shared" si="141"/>
        <v>11</v>
      </c>
      <c r="AF558" t="s">
        <v>40</v>
      </c>
    </row>
    <row r="559" spans="1:32" x14ac:dyDescent="0.25">
      <c r="A559">
        <v>5</v>
      </c>
      <c r="B559">
        <v>420</v>
      </c>
      <c r="C559" t="str">
        <f t="shared" ref="C559:C565" si="147">"11"</f>
        <v>11</v>
      </c>
      <c r="D559">
        <v>6269</v>
      </c>
      <c r="E559" t="str">
        <f t="shared" si="136"/>
        <v>00</v>
      </c>
      <c r="F559" t="str">
        <f>"999"</f>
        <v>999</v>
      </c>
      <c r="G559">
        <v>5</v>
      </c>
      <c r="H559" t="str">
        <f t="shared" ref="H559:H565" si="148">"11"</f>
        <v>11</v>
      </c>
      <c r="I559" t="str">
        <f t="shared" si="135"/>
        <v>0</v>
      </c>
      <c r="J559" t="str">
        <f t="shared" si="140"/>
        <v>00</v>
      </c>
      <c r="K559">
        <v>20141113</v>
      </c>
      <c r="L559" t="str">
        <f>"014575"</f>
        <v>014575</v>
      </c>
      <c r="M559" t="str">
        <f>"00218"</f>
        <v>00218</v>
      </c>
      <c r="N559" t="s">
        <v>230</v>
      </c>
      <c r="O559">
        <v>136.25</v>
      </c>
      <c r="Q559" t="s">
        <v>33</v>
      </c>
      <c r="R559" t="s">
        <v>34</v>
      </c>
      <c r="S559" t="s">
        <v>35</v>
      </c>
      <c r="T559" t="s">
        <v>35</v>
      </c>
      <c r="U559" t="s">
        <v>34</v>
      </c>
      <c r="V559" t="str">
        <f>""</f>
        <v/>
      </c>
      <c r="W559">
        <v>20141112</v>
      </c>
      <c r="X559" t="s">
        <v>213</v>
      </c>
      <c r="Y559" t="s">
        <v>231</v>
      </c>
      <c r="Z559" t="s">
        <v>231</v>
      </c>
      <c r="AA559">
        <v>0</v>
      </c>
      <c r="AB559" t="s">
        <v>142</v>
      </c>
      <c r="AC559" t="s">
        <v>143</v>
      </c>
      <c r="AD559" t="s">
        <v>40</v>
      </c>
      <c r="AE559" t="str">
        <f t="shared" si="141"/>
        <v>11</v>
      </c>
      <c r="AF559" t="s">
        <v>40</v>
      </c>
    </row>
    <row r="560" spans="1:32" x14ac:dyDescent="0.25">
      <c r="A560">
        <v>5</v>
      </c>
      <c r="B560">
        <v>420</v>
      </c>
      <c r="C560" t="str">
        <f t="shared" si="147"/>
        <v>11</v>
      </c>
      <c r="D560">
        <v>6399</v>
      </c>
      <c r="E560" t="str">
        <f t="shared" si="136"/>
        <v>00</v>
      </c>
      <c r="F560" t="str">
        <f>"001"</f>
        <v>001</v>
      </c>
      <c r="G560">
        <v>5</v>
      </c>
      <c r="H560" t="str">
        <f t="shared" si="148"/>
        <v>11</v>
      </c>
      <c r="I560" t="str">
        <f t="shared" si="135"/>
        <v>0</v>
      </c>
      <c r="J560" t="str">
        <f t="shared" si="140"/>
        <v>00</v>
      </c>
      <c r="K560">
        <v>20141113</v>
      </c>
      <c r="L560" t="str">
        <f t="shared" ref="L560:L565" si="149">"014576"</f>
        <v>014576</v>
      </c>
      <c r="M560" t="str">
        <f t="shared" ref="M560:M565" si="150">"00714"</f>
        <v>00714</v>
      </c>
      <c r="N560" t="s">
        <v>501</v>
      </c>
      <c r="O560">
        <v>1.59</v>
      </c>
      <c r="Q560" t="s">
        <v>33</v>
      </c>
      <c r="R560" t="s">
        <v>34</v>
      </c>
      <c r="S560" t="s">
        <v>35</v>
      </c>
      <c r="T560" t="s">
        <v>35</v>
      </c>
      <c r="U560" t="s">
        <v>34</v>
      </c>
      <c r="V560" t="str">
        <f>""</f>
        <v/>
      </c>
      <c r="W560">
        <v>20141112</v>
      </c>
      <c r="X560" t="s">
        <v>239</v>
      </c>
      <c r="Y560" t="s">
        <v>502</v>
      </c>
      <c r="Z560" t="s">
        <v>502</v>
      </c>
      <c r="AA560">
        <v>0</v>
      </c>
      <c r="AB560" t="s">
        <v>142</v>
      </c>
      <c r="AC560" t="s">
        <v>41</v>
      </c>
      <c r="AD560" t="s">
        <v>40</v>
      </c>
      <c r="AE560" t="str">
        <f t="shared" si="141"/>
        <v>11</v>
      </c>
      <c r="AF560" t="s">
        <v>40</v>
      </c>
    </row>
    <row r="561" spans="1:32" x14ac:dyDescent="0.25">
      <c r="A561">
        <v>5</v>
      </c>
      <c r="B561">
        <v>420</v>
      </c>
      <c r="C561" t="str">
        <f t="shared" si="147"/>
        <v>11</v>
      </c>
      <c r="D561">
        <v>6399</v>
      </c>
      <c r="E561" t="str">
        <f t="shared" si="136"/>
        <v>00</v>
      </c>
      <c r="F561" t="str">
        <f>"001"</f>
        <v>001</v>
      </c>
      <c r="G561">
        <v>5</v>
      </c>
      <c r="H561" t="str">
        <f t="shared" si="148"/>
        <v>11</v>
      </c>
      <c r="I561" t="str">
        <f t="shared" si="135"/>
        <v>0</v>
      </c>
      <c r="J561" t="str">
        <f t="shared" si="140"/>
        <v>00</v>
      </c>
      <c r="K561">
        <v>20141113</v>
      </c>
      <c r="L561" t="str">
        <f t="shared" si="149"/>
        <v>014576</v>
      </c>
      <c r="M561" t="str">
        <f t="shared" si="150"/>
        <v>00714</v>
      </c>
      <c r="N561" t="s">
        <v>501</v>
      </c>
      <c r="O561">
        <v>51.09</v>
      </c>
      <c r="Q561" t="s">
        <v>33</v>
      </c>
      <c r="R561" t="s">
        <v>34</v>
      </c>
      <c r="S561" t="s">
        <v>35</v>
      </c>
      <c r="T561" t="s">
        <v>35</v>
      </c>
      <c r="U561" t="s">
        <v>34</v>
      </c>
      <c r="V561" t="str">
        <f>""</f>
        <v/>
      </c>
      <c r="W561">
        <v>20141112</v>
      </c>
      <c r="X561" t="s">
        <v>239</v>
      </c>
      <c r="Y561" t="s">
        <v>502</v>
      </c>
      <c r="Z561" t="s">
        <v>502</v>
      </c>
      <c r="AA561">
        <v>0</v>
      </c>
      <c r="AB561" t="s">
        <v>142</v>
      </c>
      <c r="AC561" t="s">
        <v>41</v>
      </c>
      <c r="AD561" t="s">
        <v>40</v>
      </c>
      <c r="AE561" t="str">
        <f t="shared" si="141"/>
        <v>11</v>
      </c>
      <c r="AF561" t="s">
        <v>40</v>
      </c>
    </row>
    <row r="562" spans="1:32" x14ac:dyDescent="0.25">
      <c r="A562">
        <v>5</v>
      </c>
      <c r="B562">
        <v>420</v>
      </c>
      <c r="C562" t="str">
        <f t="shared" si="147"/>
        <v>11</v>
      </c>
      <c r="D562">
        <v>6399</v>
      </c>
      <c r="E562" t="str">
        <f t="shared" si="136"/>
        <v>00</v>
      </c>
      <c r="F562" t="str">
        <f>"041"</f>
        <v>041</v>
      </c>
      <c r="G562">
        <v>5</v>
      </c>
      <c r="H562" t="str">
        <f t="shared" si="148"/>
        <v>11</v>
      </c>
      <c r="I562" t="str">
        <f t="shared" si="135"/>
        <v>0</v>
      </c>
      <c r="J562" t="str">
        <f t="shared" si="140"/>
        <v>00</v>
      </c>
      <c r="K562">
        <v>20141113</v>
      </c>
      <c r="L562" t="str">
        <f t="shared" si="149"/>
        <v>014576</v>
      </c>
      <c r="M562" t="str">
        <f t="shared" si="150"/>
        <v>00714</v>
      </c>
      <c r="N562" t="s">
        <v>501</v>
      </c>
      <c r="O562">
        <v>1.59</v>
      </c>
      <c r="Q562" t="s">
        <v>33</v>
      </c>
      <c r="R562" t="s">
        <v>34</v>
      </c>
      <c r="S562" t="s">
        <v>35</v>
      </c>
      <c r="T562" t="s">
        <v>35</v>
      </c>
      <c r="U562" t="s">
        <v>34</v>
      </c>
      <c r="V562" t="str">
        <f>""</f>
        <v/>
      </c>
      <c r="W562">
        <v>20141112</v>
      </c>
      <c r="X562" t="s">
        <v>241</v>
      </c>
      <c r="Y562" t="s">
        <v>502</v>
      </c>
      <c r="Z562" t="s">
        <v>502</v>
      </c>
      <c r="AA562">
        <v>0</v>
      </c>
      <c r="AB562" t="s">
        <v>142</v>
      </c>
      <c r="AC562" t="s">
        <v>41</v>
      </c>
      <c r="AD562" t="s">
        <v>40</v>
      </c>
      <c r="AE562" t="str">
        <f t="shared" si="141"/>
        <v>11</v>
      </c>
      <c r="AF562" t="s">
        <v>40</v>
      </c>
    </row>
    <row r="563" spans="1:32" x14ac:dyDescent="0.25">
      <c r="A563">
        <v>5</v>
      </c>
      <c r="B563">
        <v>420</v>
      </c>
      <c r="C563" t="str">
        <f t="shared" si="147"/>
        <v>11</v>
      </c>
      <c r="D563">
        <v>6399</v>
      </c>
      <c r="E563" t="str">
        <f t="shared" si="136"/>
        <v>00</v>
      </c>
      <c r="F563" t="str">
        <f>"041"</f>
        <v>041</v>
      </c>
      <c r="G563">
        <v>5</v>
      </c>
      <c r="H563" t="str">
        <f t="shared" si="148"/>
        <v>11</v>
      </c>
      <c r="I563" t="str">
        <f t="shared" si="135"/>
        <v>0</v>
      </c>
      <c r="J563" t="str">
        <f t="shared" si="140"/>
        <v>00</v>
      </c>
      <c r="K563">
        <v>20141113</v>
      </c>
      <c r="L563" t="str">
        <f t="shared" si="149"/>
        <v>014576</v>
      </c>
      <c r="M563" t="str">
        <f t="shared" si="150"/>
        <v>00714</v>
      </c>
      <c r="N563" t="s">
        <v>501</v>
      </c>
      <c r="O563">
        <v>51.09</v>
      </c>
      <c r="Q563" t="s">
        <v>33</v>
      </c>
      <c r="R563" t="s">
        <v>34</v>
      </c>
      <c r="S563" t="s">
        <v>35</v>
      </c>
      <c r="T563" t="s">
        <v>35</v>
      </c>
      <c r="U563" t="s">
        <v>34</v>
      </c>
      <c r="V563" t="str">
        <f>""</f>
        <v/>
      </c>
      <c r="W563">
        <v>20141112</v>
      </c>
      <c r="X563" t="s">
        <v>241</v>
      </c>
      <c r="Y563" t="s">
        <v>502</v>
      </c>
      <c r="Z563" t="s">
        <v>502</v>
      </c>
      <c r="AA563">
        <v>0</v>
      </c>
      <c r="AB563" t="s">
        <v>142</v>
      </c>
      <c r="AC563" t="s">
        <v>41</v>
      </c>
      <c r="AD563" t="s">
        <v>40</v>
      </c>
      <c r="AE563" t="str">
        <f t="shared" si="141"/>
        <v>11</v>
      </c>
      <c r="AF563" t="s">
        <v>40</v>
      </c>
    </row>
    <row r="564" spans="1:32" x14ac:dyDescent="0.25">
      <c r="A564">
        <v>5</v>
      </c>
      <c r="B564">
        <v>420</v>
      </c>
      <c r="C564" t="str">
        <f t="shared" si="147"/>
        <v>11</v>
      </c>
      <c r="D564">
        <v>6399</v>
      </c>
      <c r="E564" t="str">
        <f t="shared" si="136"/>
        <v>00</v>
      </c>
      <c r="F564" t="str">
        <f>"101"</f>
        <v>101</v>
      </c>
      <c r="G564">
        <v>5</v>
      </c>
      <c r="H564" t="str">
        <f t="shared" si="148"/>
        <v>11</v>
      </c>
      <c r="I564" t="str">
        <f t="shared" si="135"/>
        <v>0</v>
      </c>
      <c r="J564" t="str">
        <f t="shared" si="140"/>
        <v>00</v>
      </c>
      <c r="K564">
        <v>20141113</v>
      </c>
      <c r="L564" t="str">
        <f t="shared" si="149"/>
        <v>014576</v>
      </c>
      <c r="M564" t="str">
        <f t="shared" si="150"/>
        <v>00714</v>
      </c>
      <c r="N564" t="s">
        <v>501</v>
      </c>
      <c r="O564">
        <v>6.77</v>
      </c>
      <c r="Q564" t="s">
        <v>33</v>
      </c>
      <c r="R564" t="s">
        <v>34</v>
      </c>
      <c r="S564" t="s">
        <v>35</v>
      </c>
      <c r="T564" t="s">
        <v>35</v>
      </c>
      <c r="U564" t="s">
        <v>34</v>
      </c>
      <c r="V564" t="str">
        <f>""</f>
        <v/>
      </c>
      <c r="W564">
        <v>20141112</v>
      </c>
      <c r="X564" t="s">
        <v>246</v>
      </c>
      <c r="Y564" t="s">
        <v>502</v>
      </c>
      <c r="Z564" t="s">
        <v>502</v>
      </c>
      <c r="AA564">
        <v>0</v>
      </c>
      <c r="AB564" t="s">
        <v>142</v>
      </c>
      <c r="AC564" t="s">
        <v>41</v>
      </c>
      <c r="AD564" t="s">
        <v>40</v>
      </c>
      <c r="AE564" t="str">
        <f t="shared" si="141"/>
        <v>11</v>
      </c>
      <c r="AF564" t="s">
        <v>40</v>
      </c>
    </row>
    <row r="565" spans="1:32" x14ac:dyDescent="0.25">
      <c r="A565">
        <v>5</v>
      </c>
      <c r="B565">
        <v>420</v>
      </c>
      <c r="C565" t="str">
        <f t="shared" si="147"/>
        <v>11</v>
      </c>
      <c r="D565">
        <v>6399</v>
      </c>
      <c r="E565" t="str">
        <f t="shared" si="136"/>
        <v>00</v>
      </c>
      <c r="F565" t="str">
        <f>"101"</f>
        <v>101</v>
      </c>
      <c r="G565">
        <v>5</v>
      </c>
      <c r="H565" t="str">
        <f t="shared" si="148"/>
        <v>11</v>
      </c>
      <c r="I565" t="str">
        <f t="shared" si="135"/>
        <v>0</v>
      </c>
      <c r="J565" t="str">
        <f t="shared" si="140"/>
        <v>00</v>
      </c>
      <c r="K565">
        <v>20141113</v>
      </c>
      <c r="L565" t="str">
        <f t="shared" si="149"/>
        <v>014576</v>
      </c>
      <c r="M565" t="str">
        <f t="shared" si="150"/>
        <v>00714</v>
      </c>
      <c r="N565" t="s">
        <v>501</v>
      </c>
      <c r="O565">
        <v>217.13</v>
      </c>
      <c r="Q565" t="s">
        <v>33</v>
      </c>
      <c r="R565" t="s">
        <v>34</v>
      </c>
      <c r="S565" t="s">
        <v>35</v>
      </c>
      <c r="T565" t="s">
        <v>35</v>
      </c>
      <c r="U565" t="s">
        <v>34</v>
      </c>
      <c r="V565" t="str">
        <f>""</f>
        <v/>
      </c>
      <c r="W565">
        <v>20141112</v>
      </c>
      <c r="X565" t="s">
        <v>246</v>
      </c>
      <c r="Y565" t="s">
        <v>502</v>
      </c>
      <c r="Z565" t="s">
        <v>502</v>
      </c>
      <c r="AA565">
        <v>0</v>
      </c>
      <c r="AB565" t="s">
        <v>142</v>
      </c>
      <c r="AC565" t="s">
        <v>41</v>
      </c>
      <c r="AD565" t="s">
        <v>40</v>
      </c>
      <c r="AE565" t="str">
        <f t="shared" si="141"/>
        <v>11</v>
      </c>
      <c r="AF565" t="s">
        <v>40</v>
      </c>
    </row>
    <row r="566" spans="1:32" x14ac:dyDescent="0.25">
      <c r="A566">
        <v>5</v>
      </c>
      <c r="B566">
        <v>240</v>
      </c>
      <c r="C566" t="str">
        <f t="shared" ref="C566:C573" si="151">"35"</f>
        <v>35</v>
      </c>
      <c r="D566">
        <v>6319</v>
      </c>
      <c r="E566" t="str">
        <f t="shared" si="136"/>
        <v>00</v>
      </c>
      <c r="F566" t="str">
        <f t="shared" ref="F566:F577" si="152">"999"</f>
        <v>999</v>
      </c>
      <c r="G566">
        <v>5</v>
      </c>
      <c r="H566" t="str">
        <f t="shared" ref="H566:H578" si="153">"99"</f>
        <v>99</v>
      </c>
      <c r="I566" t="str">
        <f t="shared" si="135"/>
        <v>0</v>
      </c>
      <c r="J566" t="str">
        <f t="shared" si="140"/>
        <v>00</v>
      </c>
      <c r="K566">
        <v>20141113</v>
      </c>
      <c r="L566" t="str">
        <f t="shared" ref="L566:L573" si="154">"014577"</f>
        <v>014577</v>
      </c>
      <c r="M566" t="str">
        <f t="shared" ref="M566:M573" si="155">"00391"</f>
        <v>00391</v>
      </c>
      <c r="N566" t="s">
        <v>265</v>
      </c>
      <c r="O566">
        <v>51.24</v>
      </c>
      <c r="Q566" t="s">
        <v>33</v>
      </c>
      <c r="R566" t="s">
        <v>34</v>
      </c>
      <c r="S566" t="s">
        <v>35</v>
      </c>
      <c r="T566" t="s">
        <v>35</v>
      </c>
      <c r="U566" t="s">
        <v>34</v>
      </c>
      <c r="V566" t="str">
        <f>""</f>
        <v/>
      </c>
      <c r="W566">
        <v>20141112</v>
      </c>
      <c r="X566" t="s">
        <v>267</v>
      </c>
      <c r="Y566" t="s">
        <v>266</v>
      </c>
      <c r="Z566" t="s">
        <v>266</v>
      </c>
      <c r="AA566">
        <v>0</v>
      </c>
      <c r="AB566" t="s">
        <v>238</v>
      </c>
      <c r="AC566" t="s">
        <v>143</v>
      </c>
      <c r="AD566" t="s">
        <v>40</v>
      </c>
      <c r="AE566" t="str">
        <f t="shared" si="141"/>
        <v>11</v>
      </c>
      <c r="AF566" t="s">
        <v>40</v>
      </c>
    </row>
    <row r="567" spans="1:32" x14ac:dyDescent="0.25">
      <c r="A567">
        <v>5</v>
      </c>
      <c r="B567">
        <v>240</v>
      </c>
      <c r="C567" t="str">
        <f t="shared" si="151"/>
        <v>35</v>
      </c>
      <c r="D567">
        <v>6341</v>
      </c>
      <c r="E567" t="str">
        <f t="shared" si="136"/>
        <v>00</v>
      </c>
      <c r="F567" t="str">
        <f t="shared" si="152"/>
        <v>999</v>
      </c>
      <c r="G567">
        <v>5</v>
      </c>
      <c r="H567" t="str">
        <f t="shared" si="153"/>
        <v>99</v>
      </c>
      <c r="I567" t="str">
        <f t="shared" si="135"/>
        <v>0</v>
      </c>
      <c r="J567" t="str">
        <f t="shared" si="140"/>
        <v>00</v>
      </c>
      <c r="K567">
        <v>20141113</v>
      </c>
      <c r="L567" t="str">
        <f t="shared" si="154"/>
        <v>014577</v>
      </c>
      <c r="M567" t="str">
        <f t="shared" si="155"/>
        <v>00391</v>
      </c>
      <c r="N567" t="s">
        <v>265</v>
      </c>
      <c r="O567" s="1">
        <v>2611.92</v>
      </c>
      <c r="Q567" t="s">
        <v>33</v>
      </c>
      <c r="R567" t="s">
        <v>34</v>
      </c>
      <c r="S567" t="s">
        <v>35</v>
      </c>
      <c r="T567" t="s">
        <v>35</v>
      </c>
      <c r="U567" t="s">
        <v>34</v>
      </c>
      <c r="V567" t="str">
        <f>""</f>
        <v/>
      </c>
      <c r="W567">
        <v>20141112</v>
      </c>
      <c r="X567" t="s">
        <v>268</v>
      </c>
      <c r="Y567" t="s">
        <v>266</v>
      </c>
      <c r="Z567" t="s">
        <v>266</v>
      </c>
      <c r="AA567">
        <v>0</v>
      </c>
      <c r="AB567" t="s">
        <v>238</v>
      </c>
      <c r="AC567" t="s">
        <v>143</v>
      </c>
      <c r="AD567" t="s">
        <v>40</v>
      </c>
      <c r="AE567" t="str">
        <f t="shared" si="141"/>
        <v>11</v>
      </c>
      <c r="AF567" t="s">
        <v>40</v>
      </c>
    </row>
    <row r="568" spans="1:32" x14ac:dyDescent="0.25">
      <c r="A568">
        <v>5</v>
      </c>
      <c r="B568">
        <v>240</v>
      </c>
      <c r="C568" t="str">
        <f t="shared" si="151"/>
        <v>35</v>
      </c>
      <c r="D568">
        <v>6341</v>
      </c>
      <c r="E568" t="str">
        <f t="shared" si="136"/>
        <v>00</v>
      </c>
      <c r="F568" t="str">
        <f t="shared" si="152"/>
        <v>999</v>
      </c>
      <c r="G568">
        <v>5</v>
      </c>
      <c r="H568" t="str">
        <f t="shared" si="153"/>
        <v>99</v>
      </c>
      <c r="I568" t="str">
        <f t="shared" si="135"/>
        <v>0</v>
      </c>
      <c r="J568" t="str">
        <f t="shared" si="140"/>
        <v>00</v>
      </c>
      <c r="K568">
        <v>20141113</v>
      </c>
      <c r="L568" t="str">
        <f t="shared" si="154"/>
        <v>014577</v>
      </c>
      <c r="M568" t="str">
        <f t="shared" si="155"/>
        <v>00391</v>
      </c>
      <c r="N568" t="s">
        <v>265</v>
      </c>
      <c r="O568">
        <v>420.42</v>
      </c>
      <c r="Q568" t="s">
        <v>33</v>
      </c>
      <c r="R568" t="s">
        <v>34</v>
      </c>
      <c r="S568" t="s">
        <v>35</v>
      </c>
      <c r="T568" t="s">
        <v>35</v>
      </c>
      <c r="U568" t="s">
        <v>34</v>
      </c>
      <c r="V568" t="str">
        <f>""</f>
        <v/>
      </c>
      <c r="W568">
        <v>20141112</v>
      </c>
      <c r="X568" t="s">
        <v>268</v>
      </c>
      <c r="Y568" t="s">
        <v>266</v>
      </c>
      <c r="Z568" t="s">
        <v>266</v>
      </c>
      <c r="AA568">
        <v>0</v>
      </c>
      <c r="AB568" t="s">
        <v>238</v>
      </c>
      <c r="AC568" t="s">
        <v>143</v>
      </c>
      <c r="AD568" t="s">
        <v>40</v>
      </c>
      <c r="AE568" t="str">
        <f t="shared" si="141"/>
        <v>11</v>
      </c>
      <c r="AF568" t="s">
        <v>40</v>
      </c>
    </row>
    <row r="569" spans="1:32" x14ac:dyDescent="0.25">
      <c r="A569">
        <v>5</v>
      </c>
      <c r="B569">
        <v>240</v>
      </c>
      <c r="C569" t="str">
        <f t="shared" si="151"/>
        <v>35</v>
      </c>
      <c r="D569">
        <v>6341</v>
      </c>
      <c r="E569" t="str">
        <f t="shared" si="136"/>
        <v>00</v>
      </c>
      <c r="F569" t="str">
        <f t="shared" si="152"/>
        <v>999</v>
      </c>
      <c r="G569">
        <v>5</v>
      </c>
      <c r="H569" t="str">
        <f t="shared" si="153"/>
        <v>99</v>
      </c>
      <c r="I569" t="str">
        <f t="shared" si="135"/>
        <v>0</v>
      </c>
      <c r="J569" t="str">
        <f t="shared" si="140"/>
        <v>00</v>
      </c>
      <c r="K569">
        <v>20141113</v>
      </c>
      <c r="L569" t="str">
        <f t="shared" si="154"/>
        <v>014577</v>
      </c>
      <c r="M569" t="str">
        <f t="shared" si="155"/>
        <v>00391</v>
      </c>
      <c r="N569" t="s">
        <v>265</v>
      </c>
      <c r="O569">
        <v>157.22</v>
      </c>
      <c r="Q569" t="s">
        <v>33</v>
      </c>
      <c r="R569" t="s">
        <v>34</v>
      </c>
      <c r="S569" t="s">
        <v>35</v>
      </c>
      <c r="T569" t="s">
        <v>35</v>
      </c>
      <c r="U569" t="s">
        <v>34</v>
      </c>
      <c r="V569" t="str">
        <f>""</f>
        <v/>
      </c>
      <c r="W569">
        <v>20141112</v>
      </c>
      <c r="X569" t="s">
        <v>268</v>
      </c>
      <c r="Y569" t="s">
        <v>266</v>
      </c>
      <c r="Z569" t="s">
        <v>266</v>
      </c>
      <c r="AA569">
        <v>0</v>
      </c>
      <c r="AB569" t="s">
        <v>238</v>
      </c>
      <c r="AC569" t="s">
        <v>143</v>
      </c>
      <c r="AD569" t="s">
        <v>40</v>
      </c>
      <c r="AE569" t="str">
        <f t="shared" ref="AE569:AE600" si="156">"11"</f>
        <v>11</v>
      </c>
      <c r="AF569" t="s">
        <v>40</v>
      </c>
    </row>
    <row r="570" spans="1:32" x14ac:dyDescent="0.25">
      <c r="A570">
        <v>5</v>
      </c>
      <c r="B570">
        <v>240</v>
      </c>
      <c r="C570" t="str">
        <f t="shared" si="151"/>
        <v>35</v>
      </c>
      <c r="D570">
        <v>6341</v>
      </c>
      <c r="E570" t="str">
        <f t="shared" si="136"/>
        <v>00</v>
      </c>
      <c r="F570" t="str">
        <f t="shared" si="152"/>
        <v>999</v>
      </c>
      <c r="G570">
        <v>5</v>
      </c>
      <c r="H570" t="str">
        <f t="shared" si="153"/>
        <v>99</v>
      </c>
      <c r="I570" t="str">
        <f t="shared" si="135"/>
        <v>0</v>
      </c>
      <c r="J570" t="str">
        <f t="shared" si="140"/>
        <v>00</v>
      </c>
      <c r="K570">
        <v>20141113</v>
      </c>
      <c r="L570" t="str">
        <f t="shared" si="154"/>
        <v>014577</v>
      </c>
      <c r="M570" t="str">
        <f t="shared" si="155"/>
        <v>00391</v>
      </c>
      <c r="N570" t="s">
        <v>265</v>
      </c>
      <c r="O570">
        <v>265.64999999999998</v>
      </c>
      <c r="Q570" t="s">
        <v>33</v>
      </c>
      <c r="R570" t="s">
        <v>34</v>
      </c>
      <c r="S570" t="s">
        <v>35</v>
      </c>
      <c r="T570" t="s">
        <v>35</v>
      </c>
      <c r="U570" t="s">
        <v>34</v>
      </c>
      <c r="V570" t="str">
        <f>""</f>
        <v/>
      </c>
      <c r="W570">
        <v>20141112</v>
      </c>
      <c r="X570" t="s">
        <v>268</v>
      </c>
      <c r="Y570" t="s">
        <v>266</v>
      </c>
      <c r="Z570" t="s">
        <v>266</v>
      </c>
      <c r="AA570">
        <v>0</v>
      </c>
      <c r="AB570" t="s">
        <v>238</v>
      </c>
      <c r="AC570" t="s">
        <v>143</v>
      </c>
      <c r="AD570" t="s">
        <v>40</v>
      </c>
      <c r="AE570" t="str">
        <f t="shared" si="156"/>
        <v>11</v>
      </c>
      <c r="AF570" t="s">
        <v>40</v>
      </c>
    </row>
    <row r="571" spans="1:32" x14ac:dyDescent="0.25">
      <c r="A571">
        <v>5</v>
      </c>
      <c r="B571">
        <v>240</v>
      </c>
      <c r="C571" t="str">
        <f t="shared" si="151"/>
        <v>35</v>
      </c>
      <c r="D571">
        <v>6342</v>
      </c>
      <c r="E571" t="str">
        <f t="shared" si="136"/>
        <v>00</v>
      </c>
      <c r="F571" t="str">
        <f t="shared" si="152"/>
        <v>999</v>
      </c>
      <c r="G571">
        <v>5</v>
      </c>
      <c r="H571" t="str">
        <f t="shared" si="153"/>
        <v>99</v>
      </c>
      <c r="I571" t="str">
        <f t="shared" si="135"/>
        <v>0</v>
      </c>
      <c r="J571" t="str">
        <f t="shared" si="140"/>
        <v>00</v>
      </c>
      <c r="K571">
        <v>20141113</v>
      </c>
      <c r="L571" t="str">
        <f t="shared" si="154"/>
        <v>014577</v>
      </c>
      <c r="M571" t="str">
        <f t="shared" si="155"/>
        <v>00391</v>
      </c>
      <c r="N571" t="s">
        <v>265</v>
      </c>
      <c r="O571">
        <v>100.06</v>
      </c>
      <c r="Q571" t="s">
        <v>33</v>
      </c>
      <c r="R571" t="s">
        <v>34</v>
      </c>
      <c r="S571" t="s">
        <v>35</v>
      </c>
      <c r="T571" t="s">
        <v>35</v>
      </c>
      <c r="U571" t="s">
        <v>34</v>
      </c>
      <c r="V571" t="str">
        <f>""</f>
        <v/>
      </c>
      <c r="W571">
        <v>20141112</v>
      </c>
      <c r="X571" t="s">
        <v>269</v>
      </c>
      <c r="Y571" t="s">
        <v>266</v>
      </c>
      <c r="Z571" t="s">
        <v>266</v>
      </c>
      <c r="AA571">
        <v>0</v>
      </c>
      <c r="AB571" t="s">
        <v>238</v>
      </c>
      <c r="AC571" t="s">
        <v>143</v>
      </c>
      <c r="AD571" t="s">
        <v>40</v>
      </c>
      <c r="AE571" t="str">
        <f t="shared" si="156"/>
        <v>11</v>
      </c>
      <c r="AF571" t="s">
        <v>40</v>
      </c>
    </row>
    <row r="572" spans="1:32" x14ac:dyDescent="0.25">
      <c r="A572">
        <v>5</v>
      </c>
      <c r="B572">
        <v>240</v>
      </c>
      <c r="C572" t="str">
        <f t="shared" si="151"/>
        <v>35</v>
      </c>
      <c r="D572">
        <v>6342</v>
      </c>
      <c r="E572" t="str">
        <f t="shared" si="136"/>
        <v>00</v>
      </c>
      <c r="F572" t="str">
        <f t="shared" si="152"/>
        <v>999</v>
      </c>
      <c r="G572">
        <v>5</v>
      </c>
      <c r="H572" t="str">
        <f t="shared" si="153"/>
        <v>99</v>
      </c>
      <c r="I572" t="str">
        <f t="shared" si="135"/>
        <v>0</v>
      </c>
      <c r="J572" t="str">
        <f t="shared" si="140"/>
        <v>00</v>
      </c>
      <c r="K572">
        <v>20141113</v>
      </c>
      <c r="L572" t="str">
        <f t="shared" si="154"/>
        <v>014577</v>
      </c>
      <c r="M572" t="str">
        <f t="shared" si="155"/>
        <v>00391</v>
      </c>
      <c r="N572" t="s">
        <v>265</v>
      </c>
      <c r="O572">
        <v>3.72</v>
      </c>
      <c r="Q572" t="s">
        <v>33</v>
      </c>
      <c r="R572" t="s">
        <v>34</v>
      </c>
      <c r="S572" t="s">
        <v>35</v>
      </c>
      <c r="T572" t="s">
        <v>35</v>
      </c>
      <c r="U572" t="s">
        <v>34</v>
      </c>
      <c r="V572" t="str">
        <f>""</f>
        <v/>
      </c>
      <c r="W572">
        <v>20141112</v>
      </c>
      <c r="X572" t="s">
        <v>269</v>
      </c>
      <c r="Y572" t="s">
        <v>266</v>
      </c>
      <c r="Z572" t="s">
        <v>266</v>
      </c>
      <c r="AA572">
        <v>0</v>
      </c>
      <c r="AB572" t="s">
        <v>238</v>
      </c>
      <c r="AC572" t="s">
        <v>143</v>
      </c>
      <c r="AD572" t="s">
        <v>40</v>
      </c>
      <c r="AE572" t="str">
        <f t="shared" si="156"/>
        <v>11</v>
      </c>
      <c r="AF572" t="s">
        <v>40</v>
      </c>
    </row>
    <row r="573" spans="1:32" x14ac:dyDescent="0.25">
      <c r="A573">
        <v>5</v>
      </c>
      <c r="B573">
        <v>240</v>
      </c>
      <c r="C573" t="str">
        <f t="shared" si="151"/>
        <v>35</v>
      </c>
      <c r="D573">
        <v>6349</v>
      </c>
      <c r="E573" t="str">
        <f t="shared" si="136"/>
        <v>00</v>
      </c>
      <c r="F573" t="str">
        <f t="shared" si="152"/>
        <v>999</v>
      </c>
      <c r="G573">
        <v>5</v>
      </c>
      <c r="H573" t="str">
        <f t="shared" si="153"/>
        <v>99</v>
      </c>
      <c r="I573" t="str">
        <f t="shared" si="135"/>
        <v>0</v>
      </c>
      <c r="J573" t="str">
        <f t="shared" si="140"/>
        <v>00</v>
      </c>
      <c r="K573">
        <v>20141113</v>
      </c>
      <c r="L573" t="str">
        <f t="shared" si="154"/>
        <v>014577</v>
      </c>
      <c r="M573" t="str">
        <f t="shared" si="155"/>
        <v>00391</v>
      </c>
      <c r="N573" t="s">
        <v>265</v>
      </c>
      <c r="O573">
        <v>168.44</v>
      </c>
      <c r="Q573" t="s">
        <v>33</v>
      </c>
      <c r="R573" t="s">
        <v>34</v>
      </c>
      <c r="S573" t="s">
        <v>35</v>
      </c>
      <c r="T573" t="s">
        <v>35</v>
      </c>
      <c r="U573" t="s">
        <v>34</v>
      </c>
      <c r="V573" t="str">
        <f>""</f>
        <v/>
      </c>
      <c r="W573">
        <v>20141112</v>
      </c>
      <c r="X573" t="s">
        <v>236</v>
      </c>
      <c r="Y573" t="s">
        <v>266</v>
      </c>
      <c r="Z573" t="s">
        <v>266</v>
      </c>
      <c r="AA573">
        <v>0</v>
      </c>
      <c r="AB573" t="s">
        <v>238</v>
      </c>
      <c r="AC573" t="s">
        <v>143</v>
      </c>
      <c r="AD573" t="s">
        <v>40</v>
      </c>
      <c r="AE573" t="str">
        <f t="shared" si="156"/>
        <v>11</v>
      </c>
      <c r="AF573" t="s">
        <v>40</v>
      </c>
    </row>
    <row r="574" spans="1:32" x14ac:dyDescent="0.25">
      <c r="A574">
        <v>5</v>
      </c>
      <c r="B574">
        <v>420</v>
      </c>
      <c r="C574" t="str">
        <f>"51"</f>
        <v>51</v>
      </c>
      <c r="D574">
        <v>6259</v>
      </c>
      <c r="E574" t="str">
        <f>"54"</f>
        <v>54</v>
      </c>
      <c r="F574" t="str">
        <f t="shared" si="152"/>
        <v>999</v>
      </c>
      <c r="G574">
        <v>5</v>
      </c>
      <c r="H574" t="str">
        <f t="shared" si="153"/>
        <v>99</v>
      </c>
      <c r="I574" t="str">
        <f t="shared" si="135"/>
        <v>0</v>
      </c>
      <c r="J574" t="str">
        <f t="shared" si="140"/>
        <v>00</v>
      </c>
      <c r="K574">
        <v>20141113</v>
      </c>
      <c r="L574" t="str">
        <f>"014578"</f>
        <v>014578</v>
      </c>
      <c r="M574" t="str">
        <f>"00581"</f>
        <v>00581</v>
      </c>
      <c r="N574" t="s">
        <v>248</v>
      </c>
      <c r="O574">
        <v>487.3</v>
      </c>
      <c r="Q574" t="s">
        <v>33</v>
      </c>
      <c r="R574" t="s">
        <v>34</v>
      </c>
      <c r="S574" t="s">
        <v>35</v>
      </c>
      <c r="T574" t="s">
        <v>35</v>
      </c>
      <c r="U574" t="s">
        <v>34</v>
      </c>
      <c r="V574" t="str">
        <f>""</f>
        <v/>
      </c>
      <c r="W574">
        <v>20141112</v>
      </c>
      <c r="X574" t="s">
        <v>216</v>
      </c>
      <c r="Y574" t="s">
        <v>217</v>
      </c>
      <c r="Z574" t="s">
        <v>217</v>
      </c>
      <c r="AA574">
        <v>0</v>
      </c>
      <c r="AB574" t="s">
        <v>142</v>
      </c>
      <c r="AC574" t="s">
        <v>143</v>
      </c>
      <c r="AD574" t="s">
        <v>40</v>
      </c>
      <c r="AE574" t="str">
        <f t="shared" si="156"/>
        <v>11</v>
      </c>
      <c r="AF574" t="s">
        <v>40</v>
      </c>
    </row>
    <row r="575" spans="1:32" x14ac:dyDescent="0.25">
      <c r="A575">
        <v>5</v>
      </c>
      <c r="B575">
        <v>420</v>
      </c>
      <c r="C575" t="str">
        <f>"51"</f>
        <v>51</v>
      </c>
      <c r="D575">
        <v>6259</v>
      </c>
      <c r="E575" t="str">
        <f>"54"</f>
        <v>54</v>
      </c>
      <c r="F575" t="str">
        <f t="shared" si="152"/>
        <v>999</v>
      </c>
      <c r="G575">
        <v>5</v>
      </c>
      <c r="H575" t="str">
        <f t="shared" si="153"/>
        <v>99</v>
      </c>
      <c r="I575" t="str">
        <f t="shared" si="135"/>
        <v>0</v>
      </c>
      <c r="J575" t="str">
        <f t="shared" si="140"/>
        <v>00</v>
      </c>
      <c r="K575">
        <v>20141113</v>
      </c>
      <c r="L575" t="str">
        <f>"014579"</f>
        <v>014579</v>
      </c>
      <c r="M575" t="str">
        <f>"00591"</f>
        <v>00591</v>
      </c>
      <c r="N575" t="s">
        <v>272</v>
      </c>
      <c r="O575" s="1">
        <v>2190</v>
      </c>
      <c r="Q575" t="s">
        <v>33</v>
      </c>
      <c r="R575" t="s">
        <v>34</v>
      </c>
      <c r="S575" t="s">
        <v>35</v>
      </c>
      <c r="T575" t="s">
        <v>35</v>
      </c>
      <c r="U575" t="s">
        <v>34</v>
      </c>
      <c r="V575" t="str">
        <f>""</f>
        <v/>
      </c>
      <c r="W575">
        <v>20141113</v>
      </c>
      <c r="X575" t="s">
        <v>216</v>
      </c>
      <c r="Y575" t="s">
        <v>273</v>
      </c>
      <c r="Z575" t="s">
        <v>273</v>
      </c>
      <c r="AA575">
        <v>0</v>
      </c>
      <c r="AB575" t="s">
        <v>142</v>
      </c>
      <c r="AC575" t="s">
        <v>143</v>
      </c>
      <c r="AD575" t="s">
        <v>40</v>
      </c>
      <c r="AE575" t="str">
        <f t="shared" si="156"/>
        <v>11</v>
      </c>
      <c r="AF575" t="s">
        <v>40</v>
      </c>
    </row>
    <row r="576" spans="1:32" x14ac:dyDescent="0.25">
      <c r="A576">
        <v>5</v>
      </c>
      <c r="B576">
        <v>240</v>
      </c>
      <c r="C576" t="str">
        <f>"35"</f>
        <v>35</v>
      </c>
      <c r="D576">
        <v>6299</v>
      </c>
      <c r="E576" t="str">
        <f t="shared" ref="E576:E582" si="157">"00"</f>
        <v>00</v>
      </c>
      <c r="F576" t="str">
        <f t="shared" si="152"/>
        <v>999</v>
      </c>
      <c r="G576">
        <v>5</v>
      </c>
      <c r="H576" t="str">
        <f t="shared" si="153"/>
        <v>99</v>
      </c>
      <c r="I576" t="str">
        <f t="shared" si="135"/>
        <v>0</v>
      </c>
      <c r="J576" t="str">
        <f t="shared" si="140"/>
        <v>00</v>
      </c>
      <c r="K576">
        <v>20141113</v>
      </c>
      <c r="L576" t="str">
        <f>"014580"</f>
        <v>014580</v>
      </c>
      <c r="M576" t="str">
        <f>"00577"</f>
        <v>00577</v>
      </c>
      <c r="N576" t="s">
        <v>251</v>
      </c>
      <c r="O576">
        <v>39.04</v>
      </c>
      <c r="Q576" t="s">
        <v>33</v>
      </c>
      <c r="R576" t="s">
        <v>34</v>
      </c>
      <c r="S576" t="s">
        <v>35</v>
      </c>
      <c r="T576" t="s">
        <v>35</v>
      </c>
      <c r="U576" t="s">
        <v>34</v>
      </c>
      <c r="V576" t="str">
        <f>""</f>
        <v/>
      </c>
      <c r="W576">
        <v>20141112</v>
      </c>
      <c r="X576" t="s">
        <v>252</v>
      </c>
      <c r="Y576" t="s">
        <v>253</v>
      </c>
      <c r="Z576" t="s">
        <v>253</v>
      </c>
      <c r="AA576">
        <v>0</v>
      </c>
      <c r="AB576" t="s">
        <v>238</v>
      </c>
      <c r="AC576" t="s">
        <v>143</v>
      </c>
      <c r="AD576" t="s">
        <v>40</v>
      </c>
      <c r="AE576" t="str">
        <f t="shared" si="156"/>
        <v>11</v>
      </c>
      <c r="AF576" t="s">
        <v>40</v>
      </c>
    </row>
    <row r="577" spans="1:32" x14ac:dyDescent="0.25">
      <c r="A577">
        <v>5</v>
      </c>
      <c r="B577">
        <v>420</v>
      </c>
      <c r="C577" t="str">
        <f>"51"</f>
        <v>51</v>
      </c>
      <c r="D577">
        <v>6299</v>
      </c>
      <c r="E577" t="str">
        <f t="shared" si="157"/>
        <v>00</v>
      </c>
      <c r="F577" t="str">
        <f t="shared" si="152"/>
        <v>999</v>
      </c>
      <c r="G577">
        <v>5</v>
      </c>
      <c r="H577" t="str">
        <f t="shared" si="153"/>
        <v>99</v>
      </c>
      <c r="I577" t="str">
        <f t="shared" si="135"/>
        <v>0</v>
      </c>
      <c r="J577" t="str">
        <f t="shared" si="140"/>
        <v>00</v>
      </c>
      <c r="K577">
        <v>20141113</v>
      </c>
      <c r="L577" t="str">
        <f>"014580"</f>
        <v>014580</v>
      </c>
      <c r="M577" t="str">
        <f>"00577"</f>
        <v>00577</v>
      </c>
      <c r="N577" t="s">
        <v>251</v>
      </c>
      <c r="O577">
        <v>63.72</v>
      </c>
      <c r="Q577" t="s">
        <v>33</v>
      </c>
      <c r="R577" t="s">
        <v>34</v>
      </c>
      <c r="S577" t="s">
        <v>35</v>
      </c>
      <c r="T577" t="s">
        <v>35</v>
      </c>
      <c r="U577" t="s">
        <v>34</v>
      </c>
      <c r="V577" t="str">
        <f>""</f>
        <v/>
      </c>
      <c r="W577">
        <v>20141112</v>
      </c>
      <c r="X577" t="s">
        <v>203</v>
      </c>
      <c r="Y577" t="s">
        <v>253</v>
      </c>
      <c r="Z577" t="s">
        <v>253</v>
      </c>
      <c r="AA577">
        <v>0</v>
      </c>
      <c r="AB577" t="s">
        <v>142</v>
      </c>
      <c r="AC577" t="s">
        <v>143</v>
      </c>
      <c r="AD577" t="s">
        <v>40</v>
      </c>
      <c r="AE577" t="str">
        <f t="shared" si="156"/>
        <v>11</v>
      </c>
      <c r="AF577" t="s">
        <v>40</v>
      </c>
    </row>
    <row r="578" spans="1:32" x14ac:dyDescent="0.25">
      <c r="A578">
        <v>5</v>
      </c>
      <c r="B578">
        <v>420</v>
      </c>
      <c r="C578" t="str">
        <f>"41"</f>
        <v>41</v>
      </c>
      <c r="D578">
        <v>6219</v>
      </c>
      <c r="E578" t="str">
        <f t="shared" si="157"/>
        <v>00</v>
      </c>
      <c r="F578" t="str">
        <f>"750"</f>
        <v>750</v>
      </c>
      <c r="G578">
        <v>5</v>
      </c>
      <c r="H578" t="str">
        <f t="shared" si="153"/>
        <v>99</v>
      </c>
      <c r="I578" t="str">
        <f t="shared" ref="I578:I641" si="158">"0"</f>
        <v>0</v>
      </c>
      <c r="J578" t="str">
        <f t="shared" si="140"/>
        <v>00</v>
      </c>
      <c r="K578">
        <v>20141113</v>
      </c>
      <c r="L578" t="str">
        <f>"014581"</f>
        <v>014581</v>
      </c>
      <c r="M578" t="str">
        <f>"00377"</f>
        <v>00377</v>
      </c>
      <c r="N578" t="s">
        <v>254</v>
      </c>
      <c r="O578">
        <v>63.2</v>
      </c>
      <c r="Q578" t="s">
        <v>33</v>
      </c>
      <c r="R578" t="s">
        <v>34</v>
      </c>
      <c r="S578" t="s">
        <v>35</v>
      </c>
      <c r="T578" t="s">
        <v>35</v>
      </c>
      <c r="U578" t="s">
        <v>34</v>
      </c>
      <c r="V578" t="str">
        <f>""</f>
        <v/>
      </c>
      <c r="W578">
        <v>20141113</v>
      </c>
      <c r="X578" t="s">
        <v>255</v>
      </c>
      <c r="Y578" t="s">
        <v>256</v>
      </c>
      <c r="Z578" t="s">
        <v>256</v>
      </c>
      <c r="AA578">
        <v>0</v>
      </c>
      <c r="AB578" t="s">
        <v>142</v>
      </c>
      <c r="AC578" t="s">
        <v>170</v>
      </c>
      <c r="AD578" t="s">
        <v>40</v>
      </c>
      <c r="AE578" t="str">
        <f t="shared" si="156"/>
        <v>11</v>
      </c>
      <c r="AF578" t="s">
        <v>40</v>
      </c>
    </row>
    <row r="579" spans="1:32" x14ac:dyDescent="0.25">
      <c r="A579">
        <v>5</v>
      </c>
      <c r="B579">
        <v>420</v>
      </c>
      <c r="C579" t="str">
        <f>"11"</f>
        <v>11</v>
      </c>
      <c r="D579">
        <v>6399</v>
      </c>
      <c r="E579" t="str">
        <f t="shared" si="157"/>
        <v>00</v>
      </c>
      <c r="F579" t="str">
        <f>"001"</f>
        <v>001</v>
      </c>
      <c r="G579">
        <v>5</v>
      </c>
      <c r="H579" t="str">
        <f>"11"</f>
        <v>11</v>
      </c>
      <c r="I579" t="str">
        <f t="shared" si="158"/>
        <v>0</v>
      </c>
      <c r="J579" t="str">
        <f t="shared" si="140"/>
        <v>00</v>
      </c>
      <c r="K579">
        <v>20141113</v>
      </c>
      <c r="L579" t="str">
        <f>"014582"</f>
        <v>014582</v>
      </c>
      <c r="M579" t="str">
        <f>"00374"</f>
        <v>00374</v>
      </c>
      <c r="N579" t="s">
        <v>408</v>
      </c>
      <c r="O579">
        <v>44.64</v>
      </c>
      <c r="Q579" t="s">
        <v>33</v>
      </c>
      <c r="R579" t="s">
        <v>34</v>
      </c>
      <c r="S579" t="s">
        <v>35</v>
      </c>
      <c r="T579" t="s">
        <v>35</v>
      </c>
      <c r="U579" t="s">
        <v>34</v>
      </c>
      <c r="V579" t="str">
        <f>""</f>
        <v/>
      </c>
      <c r="W579">
        <v>20141112</v>
      </c>
      <c r="X579" t="s">
        <v>239</v>
      </c>
      <c r="Y579" t="s">
        <v>503</v>
      </c>
      <c r="Z579" t="s">
        <v>503</v>
      </c>
      <c r="AA579">
        <v>0</v>
      </c>
      <c r="AB579" t="s">
        <v>142</v>
      </c>
      <c r="AC579" t="s">
        <v>41</v>
      </c>
      <c r="AD579" t="s">
        <v>40</v>
      </c>
      <c r="AE579" t="str">
        <f t="shared" si="156"/>
        <v>11</v>
      </c>
      <c r="AF579" t="s">
        <v>40</v>
      </c>
    </row>
    <row r="580" spans="1:32" x14ac:dyDescent="0.25">
      <c r="A580">
        <v>5</v>
      </c>
      <c r="B580">
        <v>420</v>
      </c>
      <c r="C580" t="str">
        <f>"11"</f>
        <v>11</v>
      </c>
      <c r="D580">
        <v>6399</v>
      </c>
      <c r="E580" t="str">
        <f t="shared" si="157"/>
        <v>00</v>
      </c>
      <c r="F580" t="str">
        <f>"041"</f>
        <v>041</v>
      </c>
      <c r="G580">
        <v>5</v>
      </c>
      <c r="H580" t="str">
        <f>"11"</f>
        <v>11</v>
      </c>
      <c r="I580" t="str">
        <f t="shared" si="158"/>
        <v>0</v>
      </c>
      <c r="J580" t="str">
        <f t="shared" si="140"/>
        <v>00</v>
      </c>
      <c r="K580">
        <v>20141113</v>
      </c>
      <c r="L580" t="str">
        <f>"014582"</f>
        <v>014582</v>
      </c>
      <c r="M580" t="str">
        <f>"00374"</f>
        <v>00374</v>
      </c>
      <c r="N580" t="s">
        <v>408</v>
      </c>
      <c r="O580">
        <v>44.64</v>
      </c>
      <c r="Q580" t="s">
        <v>33</v>
      </c>
      <c r="R580" t="s">
        <v>34</v>
      </c>
      <c r="S580" t="s">
        <v>35</v>
      </c>
      <c r="T580" t="s">
        <v>35</v>
      </c>
      <c r="U580" t="s">
        <v>34</v>
      </c>
      <c r="V580" t="str">
        <f>""</f>
        <v/>
      </c>
      <c r="W580">
        <v>20141112</v>
      </c>
      <c r="X580" t="s">
        <v>241</v>
      </c>
      <c r="Y580" t="s">
        <v>503</v>
      </c>
      <c r="Z580" t="s">
        <v>503</v>
      </c>
      <c r="AA580">
        <v>0</v>
      </c>
      <c r="AB580" t="s">
        <v>142</v>
      </c>
      <c r="AC580" t="s">
        <v>41</v>
      </c>
      <c r="AD580" t="s">
        <v>40</v>
      </c>
      <c r="AE580" t="str">
        <f t="shared" si="156"/>
        <v>11</v>
      </c>
      <c r="AF580" t="s">
        <v>40</v>
      </c>
    </row>
    <row r="581" spans="1:32" x14ac:dyDescent="0.25">
      <c r="A581">
        <v>5</v>
      </c>
      <c r="B581">
        <v>420</v>
      </c>
      <c r="C581" t="str">
        <f>"11"</f>
        <v>11</v>
      </c>
      <c r="D581">
        <v>6399</v>
      </c>
      <c r="E581" t="str">
        <f t="shared" si="157"/>
        <v>00</v>
      </c>
      <c r="F581" t="str">
        <f>"101"</f>
        <v>101</v>
      </c>
      <c r="G581">
        <v>5</v>
      </c>
      <c r="H581" t="str">
        <f>"11"</f>
        <v>11</v>
      </c>
      <c r="I581" t="str">
        <f t="shared" si="158"/>
        <v>0</v>
      </c>
      <c r="J581" t="str">
        <f t="shared" si="140"/>
        <v>00</v>
      </c>
      <c r="K581">
        <v>20141113</v>
      </c>
      <c r="L581" t="str">
        <f>"014582"</f>
        <v>014582</v>
      </c>
      <c r="M581" t="str">
        <f>"00374"</f>
        <v>00374</v>
      </c>
      <c r="N581" t="s">
        <v>408</v>
      </c>
      <c r="O581">
        <v>181.72</v>
      </c>
      <c r="Q581" t="s">
        <v>33</v>
      </c>
      <c r="R581" t="s">
        <v>34</v>
      </c>
      <c r="S581" t="s">
        <v>35</v>
      </c>
      <c r="T581" t="s">
        <v>35</v>
      </c>
      <c r="U581" t="s">
        <v>34</v>
      </c>
      <c r="V581" t="str">
        <f>""</f>
        <v/>
      </c>
      <c r="W581">
        <v>20141112</v>
      </c>
      <c r="X581" t="s">
        <v>246</v>
      </c>
      <c r="Y581" t="s">
        <v>503</v>
      </c>
      <c r="Z581" t="s">
        <v>503</v>
      </c>
      <c r="AA581">
        <v>0</v>
      </c>
      <c r="AB581" t="s">
        <v>142</v>
      </c>
      <c r="AC581" t="s">
        <v>41</v>
      </c>
      <c r="AD581" t="s">
        <v>40</v>
      </c>
      <c r="AE581" t="str">
        <f t="shared" si="156"/>
        <v>11</v>
      </c>
      <c r="AF581" t="s">
        <v>40</v>
      </c>
    </row>
    <row r="582" spans="1:32" x14ac:dyDescent="0.25">
      <c r="A582">
        <v>5</v>
      </c>
      <c r="B582">
        <v>410</v>
      </c>
      <c r="C582" t="str">
        <f>"11"</f>
        <v>11</v>
      </c>
      <c r="D582">
        <v>6399</v>
      </c>
      <c r="E582" t="str">
        <f t="shared" si="157"/>
        <v>00</v>
      </c>
      <c r="F582" t="str">
        <f>"101"</f>
        <v>101</v>
      </c>
      <c r="G582">
        <v>5</v>
      </c>
      <c r="H582" t="str">
        <f>"11"</f>
        <v>11</v>
      </c>
      <c r="I582" t="str">
        <f t="shared" si="158"/>
        <v>0</v>
      </c>
      <c r="J582" t="str">
        <f t="shared" si="140"/>
        <v>00</v>
      </c>
      <c r="K582">
        <v>20141118</v>
      </c>
      <c r="L582" t="str">
        <f>"014583"</f>
        <v>014583</v>
      </c>
      <c r="M582" t="str">
        <f>"00757"</f>
        <v>00757</v>
      </c>
      <c r="N582" t="s">
        <v>504</v>
      </c>
      <c r="O582">
        <v>406.08</v>
      </c>
      <c r="Q582" t="s">
        <v>33</v>
      </c>
      <c r="R582" t="s">
        <v>34</v>
      </c>
      <c r="S582" t="s">
        <v>35</v>
      </c>
      <c r="T582" t="s">
        <v>35</v>
      </c>
      <c r="U582" t="s">
        <v>34</v>
      </c>
      <c r="V582" t="str">
        <f>""</f>
        <v/>
      </c>
      <c r="W582">
        <v>20141118</v>
      </c>
      <c r="X582" t="s">
        <v>446</v>
      </c>
      <c r="Y582" t="s">
        <v>505</v>
      </c>
      <c r="Z582" t="s">
        <v>505</v>
      </c>
      <c r="AA582">
        <v>0</v>
      </c>
      <c r="AB582" t="s">
        <v>448</v>
      </c>
      <c r="AC582" t="s">
        <v>41</v>
      </c>
      <c r="AD582" t="s">
        <v>40</v>
      </c>
      <c r="AE582" t="str">
        <f t="shared" si="156"/>
        <v>11</v>
      </c>
      <c r="AF582" t="s">
        <v>40</v>
      </c>
    </row>
    <row r="583" spans="1:32" x14ac:dyDescent="0.25">
      <c r="A583">
        <v>5</v>
      </c>
      <c r="B583">
        <v>420</v>
      </c>
      <c r="C583" t="str">
        <f>"51"</f>
        <v>51</v>
      </c>
      <c r="D583">
        <v>6259</v>
      </c>
      <c r="E583" t="str">
        <f>"55"</f>
        <v>55</v>
      </c>
      <c r="F583" t="str">
        <f>"999"</f>
        <v>999</v>
      </c>
      <c r="G583">
        <v>5</v>
      </c>
      <c r="H583" t="str">
        <f>"99"</f>
        <v>99</v>
      </c>
      <c r="I583" t="str">
        <f t="shared" si="158"/>
        <v>0</v>
      </c>
      <c r="J583" t="str">
        <f t="shared" si="140"/>
        <v>00</v>
      </c>
      <c r="K583">
        <v>20141118</v>
      </c>
      <c r="L583" t="str">
        <f>"014584"</f>
        <v>014584</v>
      </c>
      <c r="M583" t="str">
        <f>"00075"</f>
        <v>00075</v>
      </c>
      <c r="N583" t="s">
        <v>259</v>
      </c>
      <c r="O583">
        <v>102.83</v>
      </c>
      <c r="Q583" t="s">
        <v>33</v>
      </c>
      <c r="R583" t="s">
        <v>34</v>
      </c>
      <c r="S583" t="s">
        <v>35</v>
      </c>
      <c r="T583" t="s">
        <v>35</v>
      </c>
      <c r="U583" t="s">
        <v>34</v>
      </c>
      <c r="V583" t="str">
        <f>""</f>
        <v/>
      </c>
      <c r="W583">
        <v>20141118</v>
      </c>
      <c r="X583" t="s">
        <v>243</v>
      </c>
      <c r="Y583" t="s">
        <v>244</v>
      </c>
      <c r="Z583" t="s">
        <v>244</v>
      </c>
      <c r="AA583">
        <v>0</v>
      </c>
      <c r="AB583" t="s">
        <v>142</v>
      </c>
      <c r="AC583" t="s">
        <v>143</v>
      </c>
      <c r="AD583" t="s">
        <v>40</v>
      </c>
      <c r="AE583" t="str">
        <f t="shared" si="156"/>
        <v>11</v>
      </c>
      <c r="AF583" t="s">
        <v>40</v>
      </c>
    </row>
    <row r="584" spans="1:32" x14ac:dyDescent="0.25">
      <c r="A584">
        <v>5</v>
      </c>
      <c r="B584">
        <v>420</v>
      </c>
      <c r="C584" t="str">
        <f>"51"</f>
        <v>51</v>
      </c>
      <c r="D584">
        <v>6259</v>
      </c>
      <c r="E584" t="str">
        <f>"55"</f>
        <v>55</v>
      </c>
      <c r="F584" t="str">
        <f>"999"</f>
        <v>999</v>
      </c>
      <c r="G584">
        <v>5</v>
      </c>
      <c r="H584" t="str">
        <f>"99"</f>
        <v>99</v>
      </c>
      <c r="I584" t="str">
        <f t="shared" si="158"/>
        <v>0</v>
      </c>
      <c r="J584" t="str">
        <f t="shared" si="140"/>
        <v>00</v>
      </c>
      <c r="K584">
        <v>20141118</v>
      </c>
      <c r="L584" t="str">
        <f>"014584"</f>
        <v>014584</v>
      </c>
      <c r="M584" t="str">
        <f>"00075"</f>
        <v>00075</v>
      </c>
      <c r="N584" t="s">
        <v>259</v>
      </c>
      <c r="O584">
        <v>363.07</v>
      </c>
      <c r="Q584" t="s">
        <v>33</v>
      </c>
      <c r="R584" t="s">
        <v>34</v>
      </c>
      <c r="S584" t="s">
        <v>35</v>
      </c>
      <c r="T584" t="s">
        <v>35</v>
      </c>
      <c r="U584" t="s">
        <v>34</v>
      </c>
      <c r="V584" t="str">
        <f>""</f>
        <v/>
      </c>
      <c r="W584">
        <v>20141118</v>
      </c>
      <c r="X584" t="s">
        <v>243</v>
      </c>
      <c r="Y584" t="s">
        <v>244</v>
      </c>
      <c r="Z584" t="s">
        <v>244</v>
      </c>
      <c r="AA584">
        <v>0</v>
      </c>
      <c r="AB584" t="s">
        <v>142</v>
      </c>
      <c r="AC584" t="s">
        <v>143</v>
      </c>
      <c r="AD584" t="s">
        <v>40</v>
      </c>
      <c r="AE584" t="str">
        <f t="shared" si="156"/>
        <v>11</v>
      </c>
      <c r="AF584" t="s">
        <v>40</v>
      </c>
    </row>
    <row r="585" spans="1:32" x14ac:dyDescent="0.25">
      <c r="A585">
        <v>5</v>
      </c>
      <c r="B585">
        <v>420</v>
      </c>
      <c r="C585" t="str">
        <f t="shared" ref="C585:C597" si="159">"11"</f>
        <v>11</v>
      </c>
      <c r="D585">
        <v>6399</v>
      </c>
      <c r="E585" t="str">
        <f t="shared" ref="E585:E616" si="160">"00"</f>
        <v>00</v>
      </c>
      <c r="F585" t="str">
        <f>"001"</f>
        <v>001</v>
      </c>
      <c r="G585">
        <v>5</v>
      </c>
      <c r="H585" t="str">
        <f t="shared" ref="H585:H597" si="161">"11"</f>
        <v>11</v>
      </c>
      <c r="I585" t="str">
        <f t="shared" si="158"/>
        <v>0</v>
      </c>
      <c r="J585" t="str">
        <f t="shared" ref="J585:J596" si="162">"22"</f>
        <v>22</v>
      </c>
      <c r="K585">
        <v>20141118</v>
      </c>
      <c r="L585" t="str">
        <f t="shared" ref="L585:L596" si="163">"014585"</f>
        <v>014585</v>
      </c>
      <c r="M585" t="str">
        <f t="shared" ref="M585:M596" si="164">"00103"</f>
        <v>00103</v>
      </c>
      <c r="N585" t="s">
        <v>506</v>
      </c>
      <c r="O585">
        <v>7.07</v>
      </c>
      <c r="Q585" t="s">
        <v>33</v>
      </c>
      <c r="R585" t="s">
        <v>34</v>
      </c>
      <c r="S585" t="s">
        <v>35</v>
      </c>
      <c r="T585" t="s">
        <v>35</v>
      </c>
      <c r="U585" t="s">
        <v>34</v>
      </c>
      <c r="V585" t="str">
        <f>""</f>
        <v/>
      </c>
      <c r="W585">
        <v>20141118</v>
      </c>
      <c r="X585" t="s">
        <v>507</v>
      </c>
      <c r="Y585" t="s">
        <v>508</v>
      </c>
      <c r="Z585" t="s">
        <v>508</v>
      </c>
      <c r="AA585">
        <v>0</v>
      </c>
      <c r="AB585" t="s">
        <v>142</v>
      </c>
      <c r="AC585" t="s">
        <v>41</v>
      </c>
      <c r="AD585" t="s">
        <v>40</v>
      </c>
      <c r="AE585" t="str">
        <f t="shared" si="156"/>
        <v>11</v>
      </c>
      <c r="AF585" t="s">
        <v>40</v>
      </c>
    </row>
    <row r="586" spans="1:32" x14ac:dyDescent="0.25">
      <c r="A586">
        <v>5</v>
      </c>
      <c r="B586">
        <v>420</v>
      </c>
      <c r="C586" t="str">
        <f t="shared" si="159"/>
        <v>11</v>
      </c>
      <c r="D586">
        <v>6399</v>
      </c>
      <c r="E586" t="str">
        <f t="shared" si="160"/>
        <v>00</v>
      </c>
      <c r="F586" t="str">
        <f>"001"</f>
        <v>001</v>
      </c>
      <c r="G586">
        <v>5</v>
      </c>
      <c r="H586" t="str">
        <f t="shared" si="161"/>
        <v>11</v>
      </c>
      <c r="I586" t="str">
        <f t="shared" si="158"/>
        <v>0</v>
      </c>
      <c r="J586" t="str">
        <f t="shared" si="162"/>
        <v>22</v>
      </c>
      <c r="K586">
        <v>20141118</v>
      </c>
      <c r="L586" t="str">
        <f t="shared" si="163"/>
        <v>014585</v>
      </c>
      <c r="M586" t="str">
        <f t="shared" si="164"/>
        <v>00103</v>
      </c>
      <c r="N586" t="s">
        <v>506</v>
      </c>
      <c r="O586">
        <v>24.48</v>
      </c>
      <c r="Q586" t="s">
        <v>33</v>
      </c>
      <c r="R586" t="s">
        <v>34</v>
      </c>
      <c r="S586" t="s">
        <v>35</v>
      </c>
      <c r="T586" t="s">
        <v>35</v>
      </c>
      <c r="U586" t="s">
        <v>34</v>
      </c>
      <c r="V586" t="str">
        <f>""</f>
        <v/>
      </c>
      <c r="W586">
        <v>20141118</v>
      </c>
      <c r="X586" t="s">
        <v>507</v>
      </c>
      <c r="Y586" t="s">
        <v>508</v>
      </c>
      <c r="Z586" t="s">
        <v>508</v>
      </c>
      <c r="AA586">
        <v>0</v>
      </c>
      <c r="AB586" t="s">
        <v>142</v>
      </c>
      <c r="AC586" t="s">
        <v>41</v>
      </c>
      <c r="AD586" t="s">
        <v>40</v>
      </c>
      <c r="AE586" t="str">
        <f t="shared" si="156"/>
        <v>11</v>
      </c>
      <c r="AF586" t="s">
        <v>40</v>
      </c>
    </row>
    <row r="587" spans="1:32" x14ac:dyDescent="0.25">
      <c r="A587">
        <v>5</v>
      </c>
      <c r="B587">
        <v>420</v>
      </c>
      <c r="C587" t="str">
        <f t="shared" si="159"/>
        <v>11</v>
      </c>
      <c r="D587">
        <v>6399</v>
      </c>
      <c r="E587" t="str">
        <f t="shared" si="160"/>
        <v>00</v>
      </c>
      <c r="F587" t="str">
        <f>"001"</f>
        <v>001</v>
      </c>
      <c r="G587">
        <v>5</v>
      </c>
      <c r="H587" t="str">
        <f t="shared" si="161"/>
        <v>11</v>
      </c>
      <c r="I587" t="str">
        <f t="shared" si="158"/>
        <v>0</v>
      </c>
      <c r="J587" t="str">
        <f t="shared" si="162"/>
        <v>22</v>
      </c>
      <c r="K587">
        <v>20141118</v>
      </c>
      <c r="L587" t="str">
        <f t="shared" si="163"/>
        <v>014585</v>
      </c>
      <c r="M587" t="str">
        <f t="shared" si="164"/>
        <v>00103</v>
      </c>
      <c r="N587" t="s">
        <v>506</v>
      </c>
      <c r="O587">
        <v>1.0900000000000001</v>
      </c>
      <c r="Q587" t="s">
        <v>33</v>
      </c>
      <c r="R587" t="s">
        <v>34</v>
      </c>
      <c r="S587" t="s">
        <v>35</v>
      </c>
      <c r="T587" t="s">
        <v>35</v>
      </c>
      <c r="U587" t="s">
        <v>34</v>
      </c>
      <c r="V587" t="str">
        <f>""</f>
        <v/>
      </c>
      <c r="W587">
        <v>20141118</v>
      </c>
      <c r="X587" t="s">
        <v>507</v>
      </c>
      <c r="Y587" t="s">
        <v>508</v>
      </c>
      <c r="Z587" t="s">
        <v>508</v>
      </c>
      <c r="AA587">
        <v>0</v>
      </c>
      <c r="AB587" t="s">
        <v>142</v>
      </c>
      <c r="AC587" t="s">
        <v>41</v>
      </c>
      <c r="AD587" t="s">
        <v>40</v>
      </c>
      <c r="AE587" t="str">
        <f t="shared" si="156"/>
        <v>11</v>
      </c>
      <c r="AF587" t="s">
        <v>40</v>
      </c>
    </row>
    <row r="588" spans="1:32" x14ac:dyDescent="0.25">
      <c r="A588">
        <v>5</v>
      </c>
      <c r="B588">
        <v>420</v>
      </c>
      <c r="C588" t="str">
        <f t="shared" si="159"/>
        <v>11</v>
      </c>
      <c r="D588">
        <v>6399</v>
      </c>
      <c r="E588" t="str">
        <f t="shared" si="160"/>
        <v>00</v>
      </c>
      <c r="F588" t="str">
        <f>"001"</f>
        <v>001</v>
      </c>
      <c r="G588">
        <v>5</v>
      </c>
      <c r="H588" t="str">
        <f t="shared" si="161"/>
        <v>11</v>
      </c>
      <c r="I588" t="str">
        <f t="shared" si="158"/>
        <v>0</v>
      </c>
      <c r="J588" t="str">
        <f t="shared" si="162"/>
        <v>22</v>
      </c>
      <c r="K588">
        <v>20141118</v>
      </c>
      <c r="L588" t="str">
        <f t="shared" si="163"/>
        <v>014585</v>
      </c>
      <c r="M588" t="str">
        <f t="shared" si="164"/>
        <v>00103</v>
      </c>
      <c r="N588" t="s">
        <v>506</v>
      </c>
      <c r="O588">
        <v>23.06</v>
      </c>
      <c r="Q588" t="s">
        <v>33</v>
      </c>
      <c r="R588" t="s">
        <v>34</v>
      </c>
      <c r="S588" t="s">
        <v>35</v>
      </c>
      <c r="T588" t="s">
        <v>35</v>
      </c>
      <c r="U588" t="s">
        <v>34</v>
      </c>
      <c r="V588" t="str">
        <f>""</f>
        <v/>
      </c>
      <c r="W588">
        <v>20141118</v>
      </c>
      <c r="X588" t="s">
        <v>507</v>
      </c>
      <c r="Y588" t="s">
        <v>508</v>
      </c>
      <c r="Z588" t="s">
        <v>508</v>
      </c>
      <c r="AA588">
        <v>0</v>
      </c>
      <c r="AB588" t="s">
        <v>142</v>
      </c>
      <c r="AC588" t="s">
        <v>41</v>
      </c>
      <c r="AD588" t="s">
        <v>40</v>
      </c>
      <c r="AE588" t="str">
        <f t="shared" si="156"/>
        <v>11</v>
      </c>
      <c r="AF588" t="s">
        <v>40</v>
      </c>
    </row>
    <row r="589" spans="1:32" x14ac:dyDescent="0.25">
      <c r="A589">
        <v>5</v>
      </c>
      <c r="B589">
        <v>420</v>
      </c>
      <c r="C589" t="str">
        <f t="shared" si="159"/>
        <v>11</v>
      </c>
      <c r="D589">
        <v>6399</v>
      </c>
      <c r="E589" t="str">
        <f t="shared" si="160"/>
        <v>00</v>
      </c>
      <c r="F589" t="str">
        <f>"041"</f>
        <v>041</v>
      </c>
      <c r="G589">
        <v>5</v>
      </c>
      <c r="H589" t="str">
        <f t="shared" si="161"/>
        <v>11</v>
      </c>
      <c r="I589" t="str">
        <f t="shared" si="158"/>
        <v>0</v>
      </c>
      <c r="J589" t="str">
        <f t="shared" si="162"/>
        <v>22</v>
      </c>
      <c r="K589">
        <v>20141118</v>
      </c>
      <c r="L589" t="str">
        <f t="shared" si="163"/>
        <v>014585</v>
      </c>
      <c r="M589" t="str">
        <f t="shared" si="164"/>
        <v>00103</v>
      </c>
      <c r="N589" t="s">
        <v>506</v>
      </c>
      <c r="O589">
        <v>7.07</v>
      </c>
      <c r="Q589" t="s">
        <v>33</v>
      </c>
      <c r="R589" t="s">
        <v>34</v>
      </c>
      <c r="S589" t="s">
        <v>35</v>
      </c>
      <c r="T589" t="s">
        <v>35</v>
      </c>
      <c r="U589" t="s">
        <v>34</v>
      </c>
      <c r="V589" t="str">
        <f>""</f>
        <v/>
      </c>
      <c r="W589">
        <v>20141118</v>
      </c>
      <c r="X589" t="s">
        <v>509</v>
      </c>
      <c r="Y589" t="s">
        <v>508</v>
      </c>
      <c r="Z589" t="s">
        <v>508</v>
      </c>
      <c r="AA589">
        <v>0</v>
      </c>
      <c r="AB589" t="s">
        <v>142</v>
      </c>
      <c r="AC589" t="s">
        <v>41</v>
      </c>
      <c r="AD589" t="s">
        <v>40</v>
      </c>
      <c r="AE589" t="str">
        <f t="shared" si="156"/>
        <v>11</v>
      </c>
      <c r="AF589" t="s">
        <v>40</v>
      </c>
    </row>
    <row r="590" spans="1:32" x14ac:dyDescent="0.25">
      <c r="A590">
        <v>5</v>
      </c>
      <c r="B590">
        <v>420</v>
      </c>
      <c r="C590" t="str">
        <f t="shared" si="159"/>
        <v>11</v>
      </c>
      <c r="D590">
        <v>6399</v>
      </c>
      <c r="E590" t="str">
        <f t="shared" si="160"/>
        <v>00</v>
      </c>
      <c r="F590" t="str">
        <f>"041"</f>
        <v>041</v>
      </c>
      <c r="G590">
        <v>5</v>
      </c>
      <c r="H590" t="str">
        <f t="shared" si="161"/>
        <v>11</v>
      </c>
      <c r="I590" t="str">
        <f t="shared" si="158"/>
        <v>0</v>
      </c>
      <c r="J590" t="str">
        <f t="shared" si="162"/>
        <v>22</v>
      </c>
      <c r="K590">
        <v>20141118</v>
      </c>
      <c r="L590" t="str">
        <f t="shared" si="163"/>
        <v>014585</v>
      </c>
      <c r="M590" t="str">
        <f t="shared" si="164"/>
        <v>00103</v>
      </c>
      <c r="N590" t="s">
        <v>506</v>
      </c>
      <c r="O590">
        <v>24.48</v>
      </c>
      <c r="Q590" t="s">
        <v>33</v>
      </c>
      <c r="R590" t="s">
        <v>34</v>
      </c>
      <c r="S590" t="s">
        <v>35</v>
      </c>
      <c r="T590" t="s">
        <v>35</v>
      </c>
      <c r="U590" t="s">
        <v>34</v>
      </c>
      <c r="V590" t="str">
        <f>""</f>
        <v/>
      </c>
      <c r="W590">
        <v>20141118</v>
      </c>
      <c r="X590" t="s">
        <v>509</v>
      </c>
      <c r="Y590" t="s">
        <v>508</v>
      </c>
      <c r="Z590" t="s">
        <v>508</v>
      </c>
      <c r="AA590">
        <v>0</v>
      </c>
      <c r="AB590" t="s">
        <v>142</v>
      </c>
      <c r="AC590" t="s">
        <v>41</v>
      </c>
      <c r="AD590" t="s">
        <v>40</v>
      </c>
      <c r="AE590" t="str">
        <f t="shared" si="156"/>
        <v>11</v>
      </c>
      <c r="AF590" t="s">
        <v>40</v>
      </c>
    </row>
    <row r="591" spans="1:32" x14ac:dyDescent="0.25">
      <c r="A591">
        <v>5</v>
      </c>
      <c r="B591">
        <v>420</v>
      </c>
      <c r="C591" t="str">
        <f t="shared" si="159"/>
        <v>11</v>
      </c>
      <c r="D591">
        <v>6399</v>
      </c>
      <c r="E591" t="str">
        <f t="shared" si="160"/>
        <v>00</v>
      </c>
      <c r="F591" t="str">
        <f>"041"</f>
        <v>041</v>
      </c>
      <c r="G591">
        <v>5</v>
      </c>
      <c r="H591" t="str">
        <f t="shared" si="161"/>
        <v>11</v>
      </c>
      <c r="I591" t="str">
        <f t="shared" si="158"/>
        <v>0</v>
      </c>
      <c r="J591" t="str">
        <f t="shared" si="162"/>
        <v>22</v>
      </c>
      <c r="K591">
        <v>20141118</v>
      </c>
      <c r="L591" t="str">
        <f t="shared" si="163"/>
        <v>014585</v>
      </c>
      <c r="M591" t="str">
        <f t="shared" si="164"/>
        <v>00103</v>
      </c>
      <c r="N591" t="s">
        <v>506</v>
      </c>
      <c r="O591">
        <v>1.0900000000000001</v>
      </c>
      <c r="Q591" t="s">
        <v>33</v>
      </c>
      <c r="R591" t="s">
        <v>34</v>
      </c>
      <c r="S591" t="s">
        <v>35</v>
      </c>
      <c r="T591" t="s">
        <v>35</v>
      </c>
      <c r="U591" t="s">
        <v>34</v>
      </c>
      <c r="V591" t="str">
        <f>""</f>
        <v/>
      </c>
      <c r="W591">
        <v>20141118</v>
      </c>
      <c r="X591" t="s">
        <v>509</v>
      </c>
      <c r="Y591" t="s">
        <v>508</v>
      </c>
      <c r="Z591" t="s">
        <v>508</v>
      </c>
      <c r="AA591">
        <v>0</v>
      </c>
      <c r="AB591" t="s">
        <v>142</v>
      </c>
      <c r="AC591" t="s">
        <v>41</v>
      </c>
      <c r="AD591" t="s">
        <v>40</v>
      </c>
      <c r="AE591" t="str">
        <f t="shared" si="156"/>
        <v>11</v>
      </c>
      <c r="AF591" t="s">
        <v>40</v>
      </c>
    </row>
    <row r="592" spans="1:32" x14ac:dyDescent="0.25">
      <c r="A592">
        <v>5</v>
      </c>
      <c r="B592">
        <v>420</v>
      </c>
      <c r="C592" t="str">
        <f t="shared" si="159"/>
        <v>11</v>
      </c>
      <c r="D592">
        <v>6399</v>
      </c>
      <c r="E592" t="str">
        <f t="shared" si="160"/>
        <v>00</v>
      </c>
      <c r="F592" t="str">
        <f>"041"</f>
        <v>041</v>
      </c>
      <c r="G592">
        <v>5</v>
      </c>
      <c r="H592" t="str">
        <f t="shared" si="161"/>
        <v>11</v>
      </c>
      <c r="I592" t="str">
        <f t="shared" si="158"/>
        <v>0</v>
      </c>
      <c r="J592" t="str">
        <f t="shared" si="162"/>
        <v>22</v>
      </c>
      <c r="K592">
        <v>20141118</v>
      </c>
      <c r="L592" t="str">
        <f t="shared" si="163"/>
        <v>014585</v>
      </c>
      <c r="M592" t="str">
        <f t="shared" si="164"/>
        <v>00103</v>
      </c>
      <c r="N592" t="s">
        <v>506</v>
      </c>
      <c r="O592">
        <v>23.06</v>
      </c>
      <c r="Q592" t="s">
        <v>33</v>
      </c>
      <c r="R592" t="s">
        <v>34</v>
      </c>
      <c r="S592" t="s">
        <v>35</v>
      </c>
      <c r="T592" t="s">
        <v>35</v>
      </c>
      <c r="U592" t="s">
        <v>34</v>
      </c>
      <c r="V592" t="str">
        <f>""</f>
        <v/>
      </c>
      <c r="W592">
        <v>20141118</v>
      </c>
      <c r="X592" t="s">
        <v>509</v>
      </c>
      <c r="Y592" t="s">
        <v>508</v>
      </c>
      <c r="Z592" t="s">
        <v>508</v>
      </c>
      <c r="AA592">
        <v>0</v>
      </c>
      <c r="AB592" t="s">
        <v>142</v>
      </c>
      <c r="AC592" t="s">
        <v>41</v>
      </c>
      <c r="AD592" t="s">
        <v>40</v>
      </c>
      <c r="AE592" t="str">
        <f t="shared" si="156"/>
        <v>11</v>
      </c>
      <c r="AF592" t="s">
        <v>40</v>
      </c>
    </row>
    <row r="593" spans="1:32" x14ac:dyDescent="0.25">
      <c r="A593">
        <v>5</v>
      </c>
      <c r="B593">
        <v>420</v>
      </c>
      <c r="C593" t="str">
        <f t="shared" si="159"/>
        <v>11</v>
      </c>
      <c r="D593">
        <v>6399</v>
      </c>
      <c r="E593" t="str">
        <f t="shared" si="160"/>
        <v>00</v>
      </c>
      <c r="F593" t="str">
        <f>"101"</f>
        <v>101</v>
      </c>
      <c r="G593">
        <v>5</v>
      </c>
      <c r="H593" t="str">
        <f t="shared" si="161"/>
        <v>11</v>
      </c>
      <c r="I593" t="str">
        <f t="shared" si="158"/>
        <v>0</v>
      </c>
      <c r="J593" t="str">
        <f t="shared" si="162"/>
        <v>22</v>
      </c>
      <c r="K593">
        <v>20141118</v>
      </c>
      <c r="L593" t="str">
        <f t="shared" si="163"/>
        <v>014585</v>
      </c>
      <c r="M593" t="str">
        <f t="shared" si="164"/>
        <v>00103</v>
      </c>
      <c r="N593" t="s">
        <v>506</v>
      </c>
      <c r="O593">
        <v>30.06</v>
      </c>
      <c r="Q593" t="s">
        <v>33</v>
      </c>
      <c r="R593" t="s">
        <v>34</v>
      </c>
      <c r="S593" t="s">
        <v>35</v>
      </c>
      <c r="T593" t="s">
        <v>35</v>
      </c>
      <c r="U593" t="s">
        <v>34</v>
      </c>
      <c r="V593" t="str">
        <f>""</f>
        <v/>
      </c>
      <c r="W593">
        <v>20141118</v>
      </c>
      <c r="X593" t="s">
        <v>510</v>
      </c>
      <c r="Y593" t="s">
        <v>508</v>
      </c>
      <c r="Z593" t="s">
        <v>508</v>
      </c>
      <c r="AA593">
        <v>0</v>
      </c>
      <c r="AB593" t="s">
        <v>142</v>
      </c>
      <c r="AC593" t="s">
        <v>41</v>
      </c>
      <c r="AD593" t="s">
        <v>40</v>
      </c>
      <c r="AE593" t="str">
        <f t="shared" si="156"/>
        <v>11</v>
      </c>
      <c r="AF593" t="s">
        <v>40</v>
      </c>
    </row>
    <row r="594" spans="1:32" x14ac:dyDescent="0.25">
      <c r="A594">
        <v>5</v>
      </c>
      <c r="B594">
        <v>420</v>
      </c>
      <c r="C594" t="str">
        <f t="shared" si="159"/>
        <v>11</v>
      </c>
      <c r="D594">
        <v>6399</v>
      </c>
      <c r="E594" t="str">
        <f t="shared" si="160"/>
        <v>00</v>
      </c>
      <c r="F594" t="str">
        <f>"101"</f>
        <v>101</v>
      </c>
      <c r="G594">
        <v>5</v>
      </c>
      <c r="H594" t="str">
        <f t="shared" si="161"/>
        <v>11</v>
      </c>
      <c r="I594" t="str">
        <f t="shared" si="158"/>
        <v>0</v>
      </c>
      <c r="J594" t="str">
        <f t="shared" si="162"/>
        <v>22</v>
      </c>
      <c r="K594">
        <v>20141118</v>
      </c>
      <c r="L594" t="str">
        <f t="shared" si="163"/>
        <v>014585</v>
      </c>
      <c r="M594" t="str">
        <f t="shared" si="164"/>
        <v>00103</v>
      </c>
      <c r="N594" t="s">
        <v>506</v>
      </c>
      <c r="O594">
        <v>104.04</v>
      </c>
      <c r="Q594" t="s">
        <v>33</v>
      </c>
      <c r="R594" t="s">
        <v>34</v>
      </c>
      <c r="S594" t="s">
        <v>35</v>
      </c>
      <c r="T594" t="s">
        <v>35</v>
      </c>
      <c r="U594" t="s">
        <v>34</v>
      </c>
      <c r="V594" t="str">
        <f>""</f>
        <v/>
      </c>
      <c r="W594">
        <v>20141118</v>
      </c>
      <c r="X594" t="s">
        <v>510</v>
      </c>
      <c r="Y594" t="s">
        <v>508</v>
      </c>
      <c r="Z594" t="s">
        <v>508</v>
      </c>
      <c r="AA594">
        <v>0</v>
      </c>
      <c r="AB594" t="s">
        <v>142</v>
      </c>
      <c r="AC594" t="s">
        <v>41</v>
      </c>
      <c r="AD594" t="s">
        <v>40</v>
      </c>
      <c r="AE594" t="str">
        <f t="shared" si="156"/>
        <v>11</v>
      </c>
      <c r="AF594" t="s">
        <v>40</v>
      </c>
    </row>
    <row r="595" spans="1:32" x14ac:dyDescent="0.25">
      <c r="A595">
        <v>5</v>
      </c>
      <c r="B595">
        <v>420</v>
      </c>
      <c r="C595" t="str">
        <f t="shared" si="159"/>
        <v>11</v>
      </c>
      <c r="D595">
        <v>6399</v>
      </c>
      <c r="E595" t="str">
        <f t="shared" si="160"/>
        <v>00</v>
      </c>
      <c r="F595" t="str">
        <f>"101"</f>
        <v>101</v>
      </c>
      <c r="G595">
        <v>5</v>
      </c>
      <c r="H595" t="str">
        <f t="shared" si="161"/>
        <v>11</v>
      </c>
      <c r="I595" t="str">
        <f t="shared" si="158"/>
        <v>0</v>
      </c>
      <c r="J595" t="str">
        <f t="shared" si="162"/>
        <v>22</v>
      </c>
      <c r="K595">
        <v>20141118</v>
      </c>
      <c r="L595" t="str">
        <f t="shared" si="163"/>
        <v>014585</v>
      </c>
      <c r="M595" t="str">
        <f t="shared" si="164"/>
        <v>00103</v>
      </c>
      <c r="N595" t="s">
        <v>506</v>
      </c>
      <c r="O595">
        <v>4.62</v>
      </c>
      <c r="Q595" t="s">
        <v>33</v>
      </c>
      <c r="R595" t="s">
        <v>34</v>
      </c>
      <c r="S595" t="s">
        <v>35</v>
      </c>
      <c r="T595" t="s">
        <v>35</v>
      </c>
      <c r="U595" t="s">
        <v>34</v>
      </c>
      <c r="V595" t="str">
        <f>""</f>
        <v/>
      </c>
      <c r="W595">
        <v>20141118</v>
      </c>
      <c r="X595" t="s">
        <v>510</v>
      </c>
      <c r="Y595" t="s">
        <v>508</v>
      </c>
      <c r="Z595" t="s">
        <v>508</v>
      </c>
      <c r="AA595">
        <v>0</v>
      </c>
      <c r="AB595" t="s">
        <v>142</v>
      </c>
      <c r="AC595" t="s">
        <v>41</v>
      </c>
      <c r="AD595" t="s">
        <v>40</v>
      </c>
      <c r="AE595" t="str">
        <f t="shared" si="156"/>
        <v>11</v>
      </c>
      <c r="AF595" t="s">
        <v>40</v>
      </c>
    </row>
    <row r="596" spans="1:32" x14ac:dyDescent="0.25">
      <c r="A596">
        <v>5</v>
      </c>
      <c r="B596">
        <v>420</v>
      </c>
      <c r="C596" t="str">
        <f t="shared" si="159"/>
        <v>11</v>
      </c>
      <c r="D596">
        <v>6399</v>
      </c>
      <c r="E596" t="str">
        <f t="shared" si="160"/>
        <v>00</v>
      </c>
      <c r="F596" t="str">
        <f>"101"</f>
        <v>101</v>
      </c>
      <c r="G596">
        <v>5</v>
      </c>
      <c r="H596" t="str">
        <f t="shared" si="161"/>
        <v>11</v>
      </c>
      <c r="I596" t="str">
        <f t="shared" si="158"/>
        <v>0</v>
      </c>
      <c r="J596" t="str">
        <f t="shared" si="162"/>
        <v>22</v>
      </c>
      <c r="K596">
        <v>20141118</v>
      </c>
      <c r="L596" t="str">
        <f t="shared" si="163"/>
        <v>014585</v>
      </c>
      <c r="M596" t="str">
        <f t="shared" si="164"/>
        <v>00103</v>
      </c>
      <c r="N596" t="s">
        <v>506</v>
      </c>
      <c r="O596">
        <v>98.02</v>
      </c>
      <c r="Q596" t="s">
        <v>33</v>
      </c>
      <c r="R596" t="s">
        <v>34</v>
      </c>
      <c r="S596" t="s">
        <v>35</v>
      </c>
      <c r="T596" t="s">
        <v>35</v>
      </c>
      <c r="U596" t="s">
        <v>34</v>
      </c>
      <c r="V596" t="str">
        <f>""</f>
        <v/>
      </c>
      <c r="W596">
        <v>20141118</v>
      </c>
      <c r="X596" t="s">
        <v>510</v>
      </c>
      <c r="Y596" t="s">
        <v>508</v>
      </c>
      <c r="Z596" t="s">
        <v>508</v>
      </c>
      <c r="AA596">
        <v>0</v>
      </c>
      <c r="AB596" t="s">
        <v>142</v>
      </c>
      <c r="AC596" t="s">
        <v>41</v>
      </c>
      <c r="AD596" t="s">
        <v>40</v>
      </c>
      <c r="AE596" t="str">
        <f t="shared" si="156"/>
        <v>11</v>
      </c>
      <c r="AF596" t="s">
        <v>40</v>
      </c>
    </row>
    <row r="597" spans="1:32" x14ac:dyDescent="0.25">
      <c r="A597">
        <v>5</v>
      </c>
      <c r="B597">
        <v>410</v>
      </c>
      <c r="C597" t="str">
        <f t="shared" si="159"/>
        <v>11</v>
      </c>
      <c r="D597">
        <v>6399</v>
      </c>
      <c r="E597" t="str">
        <f t="shared" si="160"/>
        <v>00</v>
      </c>
      <c r="F597" t="str">
        <f>"101"</f>
        <v>101</v>
      </c>
      <c r="G597">
        <v>5</v>
      </c>
      <c r="H597" t="str">
        <f t="shared" si="161"/>
        <v>11</v>
      </c>
      <c r="I597" t="str">
        <f t="shared" si="158"/>
        <v>0</v>
      </c>
      <c r="J597" t="str">
        <f t="shared" ref="J597:J660" si="165">"00"</f>
        <v>00</v>
      </c>
      <c r="K597">
        <v>20141118</v>
      </c>
      <c r="L597" t="str">
        <f>"014586"</f>
        <v>014586</v>
      </c>
      <c r="M597" t="str">
        <f>"00156"</f>
        <v>00156</v>
      </c>
      <c r="N597" t="s">
        <v>511</v>
      </c>
      <c r="O597" s="1">
        <v>1414.27</v>
      </c>
      <c r="Q597" t="s">
        <v>33</v>
      </c>
      <c r="R597" t="s">
        <v>34</v>
      </c>
      <c r="S597" t="s">
        <v>35</v>
      </c>
      <c r="T597" t="s">
        <v>35</v>
      </c>
      <c r="U597" t="s">
        <v>34</v>
      </c>
      <c r="V597" t="str">
        <f>""</f>
        <v/>
      </c>
      <c r="W597">
        <v>20141118</v>
      </c>
      <c r="X597" t="s">
        <v>446</v>
      </c>
      <c r="Y597" t="s">
        <v>512</v>
      </c>
      <c r="Z597" t="s">
        <v>512</v>
      </c>
      <c r="AA597">
        <v>0</v>
      </c>
      <c r="AB597" t="s">
        <v>448</v>
      </c>
      <c r="AC597" t="s">
        <v>41</v>
      </c>
      <c r="AD597" t="s">
        <v>40</v>
      </c>
      <c r="AE597" t="str">
        <f t="shared" si="156"/>
        <v>11</v>
      </c>
      <c r="AF597" t="s">
        <v>40</v>
      </c>
    </row>
    <row r="598" spans="1:32" x14ac:dyDescent="0.25">
      <c r="A598">
        <v>5</v>
      </c>
      <c r="B598">
        <v>420</v>
      </c>
      <c r="C598" t="str">
        <f>"51"</f>
        <v>51</v>
      </c>
      <c r="D598">
        <v>6219</v>
      </c>
      <c r="E598" t="str">
        <f t="shared" si="160"/>
        <v>00</v>
      </c>
      <c r="F598" t="str">
        <f>"999"</f>
        <v>999</v>
      </c>
      <c r="G598">
        <v>5</v>
      </c>
      <c r="H598" t="str">
        <f>"99"</f>
        <v>99</v>
      </c>
      <c r="I598" t="str">
        <f t="shared" si="158"/>
        <v>0</v>
      </c>
      <c r="J598" t="str">
        <f t="shared" si="165"/>
        <v>00</v>
      </c>
      <c r="K598">
        <v>20141118</v>
      </c>
      <c r="L598" t="str">
        <f>"014587"</f>
        <v>014587</v>
      </c>
      <c r="M598" t="str">
        <f>"00619"</f>
        <v>00619</v>
      </c>
      <c r="N598" t="s">
        <v>513</v>
      </c>
      <c r="O598">
        <v>455</v>
      </c>
      <c r="Q598" t="s">
        <v>33</v>
      </c>
      <c r="R598" t="s">
        <v>34</v>
      </c>
      <c r="S598" t="s">
        <v>35</v>
      </c>
      <c r="T598" t="s">
        <v>35</v>
      </c>
      <c r="U598" t="s">
        <v>34</v>
      </c>
      <c r="V598" t="str">
        <f>""</f>
        <v/>
      </c>
      <c r="W598">
        <v>20141118</v>
      </c>
      <c r="X598" t="s">
        <v>183</v>
      </c>
      <c r="Y598" t="s">
        <v>514</v>
      </c>
      <c r="Z598" t="s">
        <v>514</v>
      </c>
      <c r="AA598">
        <v>0</v>
      </c>
      <c r="AB598" t="s">
        <v>142</v>
      </c>
      <c r="AC598" t="s">
        <v>143</v>
      </c>
      <c r="AD598" t="s">
        <v>40</v>
      </c>
      <c r="AE598" t="str">
        <f t="shared" si="156"/>
        <v>11</v>
      </c>
      <c r="AF598" t="s">
        <v>40</v>
      </c>
    </row>
    <row r="599" spans="1:32" x14ac:dyDescent="0.25">
      <c r="A599">
        <v>5</v>
      </c>
      <c r="B599">
        <v>420</v>
      </c>
      <c r="C599" t="str">
        <f>"51"</f>
        <v>51</v>
      </c>
      <c r="D599">
        <v>6319</v>
      </c>
      <c r="E599" t="str">
        <f t="shared" si="160"/>
        <v>00</v>
      </c>
      <c r="F599" t="str">
        <f>"999"</f>
        <v>999</v>
      </c>
      <c r="G599">
        <v>5</v>
      </c>
      <c r="H599" t="str">
        <f>"99"</f>
        <v>99</v>
      </c>
      <c r="I599" t="str">
        <f t="shared" si="158"/>
        <v>0</v>
      </c>
      <c r="J599" t="str">
        <f t="shared" si="165"/>
        <v>00</v>
      </c>
      <c r="K599">
        <v>20141118</v>
      </c>
      <c r="L599" t="str">
        <f>"014587"</f>
        <v>014587</v>
      </c>
      <c r="M599" t="str">
        <f>"00619"</f>
        <v>00619</v>
      </c>
      <c r="N599" t="s">
        <v>513</v>
      </c>
      <c r="O599">
        <v>390.88</v>
      </c>
      <c r="Q599" t="s">
        <v>33</v>
      </c>
      <c r="R599" t="s">
        <v>34</v>
      </c>
      <c r="S599" t="s">
        <v>35</v>
      </c>
      <c r="T599" t="s">
        <v>35</v>
      </c>
      <c r="U599" t="s">
        <v>34</v>
      </c>
      <c r="V599" t="str">
        <f>""</f>
        <v/>
      </c>
      <c r="W599">
        <v>20141118</v>
      </c>
      <c r="X599" t="s">
        <v>185</v>
      </c>
      <c r="Y599" t="s">
        <v>514</v>
      </c>
      <c r="Z599" t="s">
        <v>514</v>
      </c>
      <c r="AA599">
        <v>0</v>
      </c>
      <c r="AB599" t="s">
        <v>142</v>
      </c>
      <c r="AC599" t="s">
        <v>143</v>
      </c>
      <c r="AD599" t="s">
        <v>40</v>
      </c>
      <c r="AE599" t="str">
        <f t="shared" si="156"/>
        <v>11</v>
      </c>
      <c r="AF599" t="s">
        <v>40</v>
      </c>
    </row>
    <row r="600" spans="1:32" x14ac:dyDescent="0.25">
      <c r="A600">
        <v>5</v>
      </c>
      <c r="B600">
        <v>420</v>
      </c>
      <c r="C600" t="str">
        <f>"51"</f>
        <v>51</v>
      </c>
      <c r="D600">
        <v>6499</v>
      </c>
      <c r="E600" t="str">
        <f t="shared" si="160"/>
        <v>00</v>
      </c>
      <c r="F600" t="str">
        <f>"999"</f>
        <v>999</v>
      </c>
      <c r="G600">
        <v>5</v>
      </c>
      <c r="H600" t="str">
        <f>"99"</f>
        <v>99</v>
      </c>
      <c r="I600" t="str">
        <f t="shared" si="158"/>
        <v>0</v>
      </c>
      <c r="J600" t="str">
        <f t="shared" si="165"/>
        <v>00</v>
      </c>
      <c r="K600">
        <v>20141118</v>
      </c>
      <c r="L600" t="str">
        <f>"014588"</f>
        <v>014588</v>
      </c>
      <c r="M600" t="str">
        <f>"00699"</f>
        <v>00699</v>
      </c>
      <c r="N600" t="s">
        <v>515</v>
      </c>
      <c r="O600">
        <v>65</v>
      </c>
      <c r="Q600" t="s">
        <v>33</v>
      </c>
      <c r="R600" t="s">
        <v>34</v>
      </c>
      <c r="S600" t="s">
        <v>35</v>
      </c>
      <c r="T600" t="s">
        <v>35</v>
      </c>
      <c r="U600" t="s">
        <v>34</v>
      </c>
      <c r="V600" t="str">
        <f>""</f>
        <v/>
      </c>
      <c r="W600">
        <v>20141118</v>
      </c>
      <c r="X600" t="s">
        <v>356</v>
      </c>
      <c r="Y600" t="s">
        <v>516</v>
      </c>
      <c r="Z600" t="s">
        <v>516</v>
      </c>
      <c r="AA600">
        <v>0</v>
      </c>
      <c r="AB600" t="s">
        <v>142</v>
      </c>
      <c r="AC600" t="s">
        <v>143</v>
      </c>
      <c r="AD600" t="s">
        <v>40</v>
      </c>
      <c r="AE600" t="str">
        <f t="shared" si="156"/>
        <v>11</v>
      </c>
      <c r="AF600" t="s">
        <v>40</v>
      </c>
    </row>
    <row r="601" spans="1:32" x14ac:dyDescent="0.25">
      <c r="A601">
        <v>5</v>
      </c>
      <c r="B601">
        <v>420</v>
      </c>
      <c r="C601" t="str">
        <f>"13"</f>
        <v>13</v>
      </c>
      <c r="D601">
        <v>6399</v>
      </c>
      <c r="E601" t="str">
        <f t="shared" si="160"/>
        <v>00</v>
      </c>
      <c r="F601" t="str">
        <f>"041"</f>
        <v>041</v>
      </c>
      <c r="G601">
        <v>5</v>
      </c>
      <c r="H601" t="str">
        <f>"11"</f>
        <v>11</v>
      </c>
      <c r="I601" t="str">
        <f t="shared" si="158"/>
        <v>0</v>
      </c>
      <c r="J601" t="str">
        <f t="shared" si="165"/>
        <v>00</v>
      </c>
      <c r="K601">
        <v>20141118</v>
      </c>
      <c r="L601" t="str">
        <f>"014589"</f>
        <v>014589</v>
      </c>
      <c r="M601" t="str">
        <f>"00291"</f>
        <v>00291</v>
      </c>
      <c r="N601" t="s">
        <v>291</v>
      </c>
      <c r="O601">
        <v>54.25</v>
      </c>
      <c r="Q601" t="s">
        <v>33</v>
      </c>
      <c r="R601" t="s">
        <v>34</v>
      </c>
      <c r="S601" t="s">
        <v>35</v>
      </c>
      <c r="T601" t="s">
        <v>35</v>
      </c>
      <c r="U601" t="s">
        <v>34</v>
      </c>
      <c r="V601" t="str">
        <f>""</f>
        <v/>
      </c>
      <c r="W601">
        <v>20141118</v>
      </c>
      <c r="X601" t="s">
        <v>392</v>
      </c>
      <c r="Y601" t="s">
        <v>517</v>
      </c>
      <c r="Z601" t="s">
        <v>517</v>
      </c>
      <c r="AA601">
        <v>0</v>
      </c>
      <c r="AB601" t="s">
        <v>142</v>
      </c>
      <c r="AC601" t="s">
        <v>41</v>
      </c>
      <c r="AD601" t="s">
        <v>40</v>
      </c>
      <c r="AE601" t="str">
        <f t="shared" ref="AE601:AE632" si="166">"11"</f>
        <v>11</v>
      </c>
      <c r="AF601" t="s">
        <v>40</v>
      </c>
    </row>
    <row r="602" spans="1:32" x14ac:dyDescent="0.25">
      <c r="A602">
        <v>5</v>
      </c>
      <c r="B602">
        <v>420</v>
      </c>
      <c r="C602" t="str">
        <f>"34"</f>
        <v>34</v>
      </c>
      <c r="D602">
        <v>6311</v>
      </c>
      <c r="E602" t="str">
        <f t="shared" si="160"/>
        <v>00</v>
      </c>
      <c r="F602" t="str">
        <f>"999"</f>
        <v>999</v>
      </c>
      <c r="G602">
        <v>5</v>
      </c>
      <c r="H602" t="str">
        <f>"99"</f>
        <v>99</v>
      </c>
      <c r="I602" t="str">
        <f t="shared" si="158"/>
        <v>0</v>
      </c>
      <c r="J602" t="str">
        <f t="shared" si="165"/>
        <v>00</v>
      </c>
      <c r="K602">
        <v>20141118</v>
      </c>
      <c r="L602" t="str">
        <f>"014590"</f>
        <v>014590</v>
      </c>
      <c r="M602" t="str">
        <f>"00532"</f>
        <v>00532</v>
      </c>
      <c r="N602" t="s">
        <v>300</v>
      </c>
      <c r="O602" s="1">
        <v>2051.36</v>
      </c>
      <c r="Q602" t="s">
        <v>33</v>
      </c>
      <c r="R602" t="s">
        <v>34</v>
      </c>
      <c r="S602" t="s">
        <v>35</v>
      </c>
      <c r="T602" t="s">
        <v>35</v>
      </c>
      <c r="U602" t="s">
        <v>34</v>
      </c>
      <c r="V602" t="str">
        <f>""</f>
        <v/>
      </c>
      <c r="W602">
        <v>20141118</v>
      </c>
      <c r="X602" t="s">
        <v>301</v>
      </c>
      <c r="Y602" t="s">
        <v>302</v>
      </c>
      <c r="Z602" t="s">
        <v>302</v>
      </c>
      <c r="AA602">
        <v>0</v>
      </c>
      <c r="AB602" t="s">
        <v>142</v>
      </c>
      <c r="AC602" t="s">
        <v>143</v>
      </c>
      <c r="AD602" t="s">
        <v>40</v>
      </c>
      <c r="AE602" t="str">
        <f t="shared" si="166"/>
        <v>11</v>
      </c>
      <c r="AF602" t="s">
        <v>40</v>
      </c>
    </row>
    <row r="603" spans="1:32" x14ac:dyDescent="0.25">
      <c r="A603">
        <v>5</v>
      </c>
      <c r="B603">
        <v>420</v>
      </c>
      <c r="C603" t="str">
        <f>"34"</f>
        <v>34</v>
      </c>
      <c r="D603">
        <v>6311</v>
      </c>
      <c r="E603" t="str">
        <f t="shared" si="160"/>
        <v>00</v>
      </c>
      <c r="F603" t="str">
        <f>"999"</f>
        <v>999</v>
      </c>
      <c r="G603">
        <v>5</v>
      </c>
      <c r="H603" t="str">
        <f>"99"</f>
        <v>99</v>
      </c>
      <c r="I603" t="str">
        <f t="shared" si="158"/>
        <v>0</v>
      </c>
      <c r="J603" t="str">
        <f t="shared" si="165"/>
        <v>00</v>
      </c>
      <c r="K603">
        <v>20141118</v>
      </c>
      <c r="L603" t="str">
        <f>"014590"</f>
        <v>014590</v>
      </c>
      <c r="M603" t="str">
        <f>"00532"</f>
        <v>00532</v>
      </c>
      <c r="N603" t="s">
        <v>300</v>
      </c>
      <c r="O603">
        <v>-39.619999999999997</v>
      </c>
      <c r="Q603" t="s">
        <v>33</v>
      </c>
      <c r="R603" t="s">
        <v>34</v>
      </c>
      <c r="S603" t="s">
        <v>35</v>
      </c>
      <c r="T603" t="s">
        <v>35</v>
      </c>
      <c r="U603" t="s">
        <v>34</v>
      </c>
      <c r="V603" t="s">
        <v>110</v>
      </c>
      <c r="W603">
        <v>20141118</v>
      </c>
      <c r="X603" t="s">
        <v>301</v>
      </c>
      <c r="Y603" t="s">
        <v>518</v>
      </c>
      <c r="Z603" t="s">
        <v>518</v>
      </c>
      <c r="AA603">
        <v>0</v>
      </c>
      <c r="AB603" t="s">
        <v>142</v>
      </c>
      <c r="AC603" t="s">
        <v>143</v>
      </c>
      <c r="AD603" t="s">
        <v>112</v>
      </c>
      <c r="AE603" t="str">
        <f t="shared" si="166"/>
        <v>11</v>
      </c>
      <c r="AF603" t="s">
        <v>40</v>
      </c>
    </row>
    <row r="604" spans="1:32" x14ac:dyDescent="0.25">
      <c r="A604">
        <v>5</v>
      </c>
      <c r="B604">
        <v>420</v>
      </c>
      <c r="C604" t="str">
        <f>"41"</f>
        <v>41</v>
      </c>
      <c r="D604">
        <v>6219</v>
      </c>
      <c r="E604" t="str">
        <f t="shared" si="160"/>
        <v>00</v>
      </c>
      <c r="F604" t="str">
        <f>"750"</f>
        <v>750</v>
      </c>
      <c r="G604">
        <v>5</v>
      </c>
      <c r="H604" t="str">
        <f>"99"</f>
        <v>99</v>
      </c>
      <c r="I604" t="str">
        <f t="shared" si="158"/>
        <v>0</v>
      </c>
      <c r="J604" t="str">
        <f t="shared" si="165"/>
        <v>00</v>
      </c>
      <c r="K604">
        <v>20141118</v>
      </c>
      <c r="L604" t="str">
        <f>"014591"</f>
        <v>014591</v>
      </c>
      <c r="M604" t="str">
        <f>"00678"</f>
        <v>00678</v>
      </c>
      <c r="N604" t="s">
        <v>270</v>
      </c>
      <c r="O604" s="1">
        <v>1420</v>
      </c>
      <c r="Q604" t="s">
        <v>33</v>
      </c>
      <c r="R604" t="s">
        <v>34</v>
      </c>
      <c r="S604" t="s">
        <v>35</v>
      </c>
      <c r="T604" t="s">
        <v>35</v>
      </c>
      <c r="U604" t="s">
        <v>34</v>
      </c>
      <c r="V604" t="str">
        <f>""</f>
        <v/>
      </c>
      <c r="W604">
        <v>20141118</v>
      </c>
      <c r="X604" t="s">
        <v>255</v>
      </c>
      <c r="Y604" t="s">
        <v>519</v>
      </c>
      <c r="Z604" t="s">
        <v>519</v>
      </c>
      <c r="AA604">
        <v>0</v>
      </c>
      <c r="AB604" t="s">
        <v>142</v>
      </c>
      <c r="AC604" t="s">
        <v>170</v>
      </c>
      <c r="AD604" t="s">
        <v>40</v>
      </c>
      <c r="AE604" t="str">
        <f t="shared" si="166"/>
        <v>11</v>
      </c>
      <c r="AF604" t="s">
        <v>40</v>
      </c>
    </row>
    <row r="605" spans="1:32" x14ac:dyDescent="0.25">
      <c r="A605">
        <v>5</v>
      </c>
      <c r="B605">
        <v>420</v>
      </c>
      <c r="C605" t="str">
        <f>"51"</f>
        <v>51</v>
      </c>
      <c r="D605">
        <v>6269</v>
      </c>
      <c r="E605" t="str">
        <f t="shared" si="160"/>
        <v>00</v>
      </c>
      <c r="F605" t="str">
        <f>"999"</f>
        <v>999</v>
      </c>
      <c r="G605">
        <v>5</v>
      </c>
      <c r="H605" t="str">
        <f>"99"</f>
        <v>99</v>
      </c>
      <c r="I605" t="str">
        <f t="shared" si="158"/>
        <v>0</v>
      </c>
      <c r="J605" t="str">
        <f t="shared" si="165"/>
        <v>00</v>
      </c>
      <c r="K605">
        <v>20141118</v>
      </c>
      <c r="L605" t="str">
        <f>"014592"</f>
        <v>014592</v>
      </c>
      <c r="M605" t="str">
        <f>"00668"</f>
        <v>00668</v>
      </c>
      <c r="N605" t="s">
        <v>249</v>
      </c>
      <c r="O605">
        <v>195.5</v>
      </c>
      <c r="Q605" t="s">
        <v>33</v>
      </c>
      <c r="R605" t="s">
        <v>34</v>
      </c>
      <c r="S605" t="s">
        <v>35</v>
      </c>
      <c r="T605" t="s">
        <v>35</v>
      </c>
      <c r="U605" t="s">
        <v>34</v>
      </c>
      <c r="V605" t="str">
        <f>""</f>
        <v/>
      </c>
      <c r="W605">
        <v>20141118</v>
      </c>
      <c r="X605" t="s">
        <v>225</v>
      </c>
      <c r="Y605" t="s">
        <v>520</v>
      </c>
      <c r="Z605" t="s">
        <v>520</v>
      </c>
      <c r="AA605">
        <v>0</v>
      </c>
      <c r="AB605" t="s">
        <v>142</v>
      </c>
      <c r="AC605" t="s">
        <v>143</v>
      </c>
      <c r="AD605" t="s">
        <v>40</v>
      </c>
      <c r="AE605" t="str">
        <f t="shared" si="166"/>
        <v>11</v>
      </c>
      <c r="AF605" t="s">
        <v>40</v>
      </c>
    </row>
    <row r="606" spans="1:32" x14ac:dyDescent="0.25">
      <c r="A606">
        <v>5</v>
      </c>
      <c r="B606">
        <v>211</v>
      </c>
      <c r="C606" t="str">
        <f t="shared" ref="C606:C619" si="167">"11"</f>
        <v>11</v>
      </c>
      <c r="D606">
        <v>6399</v>
      </c>
      <c r="E606" t="str">
        <f t="shared" si="160"/>
        <v>00</v>
      </c>
      <c r="F606" t="str">
        <f>"041"</f>
        <v>041</v>
      </c>
      <c r="G606">
        <v>5</v>
      </c>
      <c r="H606" t="str">
        <f t="shared" ref="H606:H618" si="168">"30"</f>
        <v>30</v>
      </c>
      <c r="I606" t="str">
        <f t="shared" si="158"/>
        <v>0</v>
      </c>
      <c r="J606" t="str">
        <f t="shared" si="165"/>
        <v>00</v>
      </c>
      <c r="K606">
        <v>20141125</v>
      </c>
      <c r="L606" t="str">
        <f t="shared" ref="L606:L639" si="169">"014595"</f>
        <v>014595</v>
      </c>
      <c r="M606" t="str">
        <f t="shared" ref="M606:M639" si="170">"00015"</f>
        <v>00015</v>
      </c>
      <c r="N606" t="s">
        <v>44</v>
      </c>
      <c r="O606">
        <v>222.04</v>
      </c>
      <c r="Q606" t="s">
        <v>33</v>
      </c>
      <c r="R606" t="s">
        <v>34</v>
      </c>
      <c r="S606" t="s">
        <v>35</v>
      </c>
      <c r="T606" t="s">
        <v>35</v>
      </c>
      <c r="U606" t="s">
        <v>34</v>
      </c>
      <c r="V606" t="str">
        <f>""</f>
        <v/>
      </c>
      <c r="W606">
        <v>20141120</v>
      </c>
      <c r="X606" t="s">
        <v>417</v>
      </c>
      <c r="Y606" t="s">
        <v>59</v>
      </c>
      <c r="Z606" t="s">
        <v>59</v>
      </c>
      <c r="AA606">
        <v>0</v>
      </c>
      <c r="AB606" t="s">
        <v>174</v>
      </c>
      <c r="AC606" t="s">
        <v>41</v>
      </c>
      <c r="AD606" t="s">
        <v>40</v>
      </c>
      <c r="AE606" t="str">
        <f t="shared" si="166"/>
        <v>11</v>
      </c>
      <c r="AF606" t="s">
        <v>40</v>
      </c>
    </row>
    <row r="607" spans="1:32" x14ac:dyDescent="0.25">
      <c r="A607">
        <v>5</v>
      </c>
      <c r="B607">
        <v>211</v>
      </c>
      <c r="C607" t="str">
        <f t="shared" si="167"/>
        <v>11</v>
      </c>
      <c r="D607">
        <v>6399</v>
      </c>
      <c r="E607" t="str">
        <f t="shared" si="160"/>
        <v>00</v>
      </c>
      <c r="F607" t="str">
        <f>"041"</f>
        <v>041</v>
      </c>
      <c r="G607">
        <v>5</v>
      </c>
      <c r="H607" t="str">
        <f t="shared" si="168"/>
        <v>30</v>
      </c>
      <c r="I607" t="str">
        <f t="shared" si="158"/>
        <v>0</v>
      </c>
      <c r="J607" t="str">
        <f t="shared" si="165"/>
        <v>00</v>
      </c>
      <c r="K607">
        <v>20141125</v>
      </c>
      <c r="L607" t="str">
        <f t="shared" si="169"/>
        <v>014595</v>
      </c>
      <c r="M607" t="str">
        <f t="shared" si="170"/>
        <v>00015</v>
      </c>
      <c r="N607" t="s">
        <v>44</v>
      </c>
      <c r="O607">
        <v>136.63999999999999</v>
      </c>
      <c r="Q607" t="s">
        <v>33</v>
      </c>
      <c r="R607" t="s">
        <v>34</v>
      </c>
      <c r="S607" t="s">
        <v>35</v>
      </c>
      <c r="T607" t="s">
        <v>35</v>
      </c>
      <c r="U607" t="s">
        <v>34</v>
      </c>
      <c r="V607" t="str">
        <f>""</f>
        <v/>
      </c>
      <c r="W607">
        <v>20141120</v>
      </c>
      <c r="X607" t="s">
        <v>417</v>
      </c>
      <c r="Y607" t="s">
        <v>59</v>
      </c>
      <c r="Z607" t="s">
        <v>59</v>
      </c>
      <c r="AA607">
        <v>0</v>
      </c>
      <c r="AB607" t="s">
        <v>174</v>
      </c>
      <c r="AC607" t="s">
        <v>41</v>
      </c>
      <c r="AD607" t="s">
        <v>40</v>
      </c>
      <c r="AE607" t="str">
        <f t="shared" si="166"/>
        <v>11</v>
      </c>
      <c r="AF607" t="s">
        <v>40</v>
      </c>
    </row>
    <row r="608" spans="1:32" x14ac:dyDescent="0.25">
      <c r="A608">
        <v>5</v>
      </c>
      <c r="B608">
        <v>211</v>
      </c>
      <c r="C608" t="str">
        <f t="shared" si="167"/>
        <v>11</v>
      </c>
      <c r="D608">
        <v>6399</v>
      </c>
      <c r="E608" t="str">
        <f t="shared" si="160"/>
        <v>00</v>
      </c>
      <c r="F608" t="str">
        <f>"041"</f>
        <v>041</v>
      </c>
      <c r="G608">
        <v>5</v>
      </c>
      <c r="H608" t="str">
        <f t="shared" si="168"/>
        <v>30</v>
      </c>
      <c r="I608" t="str">
        <f t="shared" si="158"/>
        <v>0</v>
      </c>
      <c r="J608" t="str">
        <f t="shared" si="165"/>
        <v>00</v>
      </c>
      <c r="K608">
        <v>20141125</v>
      </c>
      <c r="L608" t="str">
        <f t="shared" si="169"/>
        <v>014595</v>
      </c>
      <c r="M608" t="str">
        <f t="shared" si="170"/>
        <v>00015</v>
      </c>
      <c r="N608" t="s">
        <v>44</v>
      </c>
      <c r="O608">
        <v>153.72</v>
      </c>
      <c r="Q608" t="s">
        <v>33</v>
      </c>
      <c r="R608" t="s">
        <v>34</v>
      </c>
      <c r="S608" t="s">
        <v>35</v>
      </c>
      <c r="T608" t="s">
        <v>35</v>
      </c>
      <c r="U608" t="s">
        <v>34</v>
      </c>
      <c r="V608" t="str">
        <f>""</f>
        <v/>
      </c>
      <c r="W608">
        <v>20141120</v>
      </c>
      <c r="X608" t="s">
        <v>417</v>
      </c>
      <c r="Y608" t="s">
        <v>59</v>
      </c>
      <c r="Z608" t="s">
        <v>59</v>
      </c>
      <c r="AA608">
        <v>0</v>
      </c>
      <c r="AB608" t="s">
        <v>174</v>
      </c>
      <c r="AC608" t="s">
        <v>41</v>
      </c>
      <c r="AD608" t="s">
        <v>40</v>
      </c>
      <c r="AE608" t="str">
        <f t="shared" si="166"/>
        <v>11</v>
      </c>
      <c r="AF608" t="s">
        <v>40</v>
      </c>
    </row>
    <row r="609" spans="1:32" x14ac:dyDescent="0.25">
      <c r="A609">
        <v>5</v>
      </c>
      <c r="B609">
        <v>211</v>
      </c>
      <c r="C609" t="str">
        <f t="shared" si="167"/>
        <v>11</v>
      </c>
      <c r="D609">
        <v>6399</v>
      </c>
      <c r="E609" t="str">
        <f t="shared" si="160"/>
        <v>00</v>
      </c>
      <c r="F609" t="str">
        <f t="shared" ref="F609:F615" si="171">"101"</f>
        <v>101</v>
      </c>
      <c r="G609">
        <v>5</v>
      </c>
      <c r="H609" t="str">
        <f t="shared" si="168"/>
        <v>30</v>
      </c>
      <c r="I609" t="str">
        <f t="shared" si="158"/>
        <v>0</v>
      </c>
      <c r="J609" t="str">
        <f t="shared" si="165"/>
        <v>00</v>
      </c>
      <c r="K609">
        <v>20141125</v>
      </c>
      <c r="L609" t="str">
        <f t="shared" si="169"/>
        <v>014595</v>
      </c>
      <c r="M609" t="str">
        <f t="shared" si="170"/>
        <v>00015</v>
      </c>
      <c r="N609" t="s">
        <v>44</v>
      </c>
      <c r="O609">
        <v>18.600000000000001</v>
      </c>
      <c r="Q609" t="s">
        <v>33</v>
      </c>
      <c r="R609" t="s">
        <v>34</v>
      </c>
      <c r="S609" t="s">
        <v>35</v>
      </c>
      <c r="T609" t="s">
        <v>35</v>
      </c>
      <c r="U609" t="s">
        <v>34</v>
      </c>
      <c r="V609" t="str">
        <f>""</f>
        <v/>
      </c>
      <c r="W609">
        <v>20141120</v>
      </c>
      <c r="X609" t="s">
        <v>422</v>
      </c>
      <c r="Y609" t="s">
        <v>59</v>
      </c>
      <c r="Z609" t="s">
        <v>59</v>
      </c>
      <c r="AA609">
        <v>0</v>
      </c>
      <c r="AB609" t="s">
        <v>174</v>
      </c>
      <c r="AC609" t="s">
        <v>41</v>
      </c>
      <c r="AD609" t="s">
        <v>40</v>
      </c>
      <c r="AE609" t="str">
        <f t="shared" si="166"/>
        <v>11</v>
      </c>
      <c r="AF609" t="s">
        <v>40</v>
      </c>
    </row>
    <row r="610" spans="1:32" x14ac:dyDescent="0.25">
      <c r="A610">
        <v>5</v>
      </c>
      <c r="B610">
        <v>211</v>
      </c>
      <c r="C610" t="str">
        <f t="shared" si="167"/>
        <v>11</v>
      </c>
      <c r="D610">
        <v>6399</v>
      </c>
      <c r="E610" t="str">
        <f t="shared" si="160"/>
        <v>00</v>
      </c>
      <c r="F610" t="str">
        <f t="shared" si="171"/>
        <v>101</v>
      </c>
      <c r="G610">
        <v>5</v>
      </c>
      <c r="H610" t="str">
        <f t="shared" si="168"/>
        <v>30</v>
      </c>
      <c r="I610" t="str">
        <f t="shared" si="158"/>
        <v>0</v>
      </c>
      <c r="J610" t="str">
        <f t="shared" si="165"/>
        <v>00</v>
      </c>
      <c r="K610">
        <v>20141125</v>
      </c>
      <c r="L610" t="str">
        <f t="shared" si="169"/>
        <v>014595</v>
      </c>
      <c r="M610" t="str">
        <f t="shared" si="170"/>
        <v>00015</v>
      </c>
      <c r="N610" t="s">
        <v>44</v>
      </c>
      <c r="O610">
        <v>18.170000000000002</v>
      </c>
      <c r="Q610" t="s">
        <v>33</v>
      </c>
      <c r="R610" t="s">
        <v>34</v>
      </c>
      <c r="S610" t="s">
        <v>35</v>
      </c>
      <c r="T610" t="s">
        <v>35</v>
      </c>
      <c r="U610" t="s">
        <v>34</v>
      </c>
      <c r="V610" t="str">
        <f>""</f>
        <v/>
      </c>
      <c r="W610">
        <v>20141120</v>
      </c>
      <c r="X610" t="s">
        <v>422</v>
      </c>
      <c r="Y610" t="s">
        <v>59</v>
      </c>
      <c r="Z610" t="s">
        <v>59</v>
      </c>
      <c r="AA610">
        <v>0</v>
      </c>
      <c r="AB610" t="s">
        <v>174</v>
      </c>
      <c r="AC610" t="s">
        <v>41</v>
      </c>
      <c r="AD610" t="s">
        <v>40</v>
      </c>
      <c r="AE610" t="str">
        <f t="shared" si="166"/>
        <v>11</v>
      </c>
      <c r="AF610" t="s">
        <v>40</v>
      </c>
    </row>
    <row r="611" spans="1:32" x14ac:dyDescent="0.25">
      <c r="A611">
        <v>5</v>
      </c>
      <c r="B611">
        <v>211</v>
      </c>
      <c r="C611" t="str">
        <f t="shared" si="167"/>
        <v>11</v>
      </c>
      <c r="D611">
        <v>6399</v>
      </c>
      <c r="E611" t="str">
        <f t="shared" si="160"/>
        <v>00</v>
      </c>
      <c r="F611" t="str">
        <f t="shared" si="171"/>
        <v>101</v>
      </c>
      <c r="G611">
        <v>5</v>
      </c>
      <c r="H611" t="str">
        <f t="shared" si="168"/>
        <v>30</v>
      </c>
      <c r="I611" t="str">
        <f t="shared" si="158"/>
        <v>0</v>
      </c>
      <c r="J611" t="str">
        <f t="shared" si="165"/>
        <v>00</v>
      </c>
      <c r="K611">
        <v>20141125</v>
      </c>
      <c r="L611" t="str">
        <f t="shared" si="169"/>
        <v>014595</v>
      </c>
      <c r="M611" t="str">
        <f t="shared" si="170"/>
        <v>00015</v>
      </c>
      <c r="N611" t="s">
        <v>44</v>
      </c>
      <c r="O611">
        <v>82.5</v>
      </c>
      <c r="Q611" t="s">
        <v>33</v>
      </c>
      <c r="R611" t="s">
        <v>34</v>
      </c>
      <c r="S611" t="s">
        <v>35</v>
      </c>
      <c r="T611" t="s">
        <v>35</v>
      </c>
      <c r="U611" t="s">
        <v>34</v>
      </c>
      <c r="V611" t="str">
        <f>""</f>
        <v/>
      </c>
      <c r="W611">
        <v>20141120</v>
      </c>
      <c r="X611" t="s">
        <v>422</v>
      </c>
      <c r="Y611" t="s">
        <v>59</v>
      </c>
      <c r="Z611" t="s">
        <v>59</v>
      </c>
      <c r="AA611">
        <v>0</v>
      </c>
      <c r="AB611" t="s">
        <v>174</v>
      </c>
      <c r="AC611" t="s">
        <v>41</v>
      </c>
      <c r="AD611" t="s">
        <v>40</v>
      </c>
      <c r="AE611" t="str">
        <f t="shared" si="166"/>
        <v>11</v>
      </c>
      <c r="AF611" t="s">
        <v>40</v>
      </c>
    </row>
    <row r="612" spans="1:32" x14ac:dyDescent="0.25">
      <c r="A612">
        <v>5</v>
      </c>
      <c r="B612">
        <v>211</v>
      </c>
      <c r="C612" t="str">
        <f t="shared" si="167"/>
        <v>11</v>
      </c>
      <c r="D612">
        <v>6399</v>
      </c>
      <c r="E612" t="str">
        <f t="shared" si="160"/>
        <v>00</v>
      </c>
      <c r="F612" t="str">
        <f t="shared" si="171"/>
        <v>101</v>
      </c>
      <c r="G612">
        <v>5</v>
      </c>
      <c r="H612" t="str">
        <f t="shared" si="168"/>
        <v>30</v>
      </c>
      <c r="I612" t="str">
        <f t="shared" si="158"/>
        <v>0</v>
      </c>
      <c r="J612" t="str">
        <f t="shared" si="165"/>
        <v>00</v>
      </c>
      <c r="K612">
        <v>20141125</v>
      </c>
      <c r="L612" t="str">
        <f t="shared" si="169"/>
        <v>014595</v>
      </c>
      <c r="M612" t="str">
        <f t="shared" si="170"/>
        <v>00015</v>
      </c>
      <c r="N612" t="s">
        <v>44</v>
      </c>
      <c r="O612">
        <v>34.19</v>
      </c>
      <c r="Q612" t="s">
        <v>33</v>
      </c>
      <c r="R612" t="s">
        <v>34</v>
      </c>
      <c r="S612" t="s">
        <v>35</v>
      </c>
      <c r="T612" t="s">
        <v>35</v>
      </c>
      <c r="U612" t="s">
        <v>34</v>
      </c>
      <c r="V612" t="str">
        <f>""</f>
        <v/>
      </c>
      <c r="W612">
        <v>20141120</v>
      </c>
      <c r="X612" t="s">
        <v>422</v>
      </c>
      <c r="Y612" t="s">
        <v>59</v>
      </c>
      <c r="Z612" t="s">
        <v>59</v>
      </c>
      <c r="AA612">
        <v>0</v>
      </c>
      <c r="AB612" t="s">
        <v>174</v>
      </c>
      <c r="AC612" t="s">
        <v>41</v>
      </c>
      <c r="AD612" t="s">
        <v>40</v>
      </c>
      <c r="AE612" t="str">
        <f t="shared" si="166"/>
        <v>11</v>
      </c>
      <c r="AF612" t="s">
        <v>40</v>
      </c>
    </row>
    <row r="613" spans="1:32" x14ac:dyDescent="0.25">
      <c r="A613">
        <v>5</v>
      </c>
      <c r="B613">
        <v>211</v>
      </c>
      <c r="C613" t="str">
        <f t="shared" si="167"/>
        <v>11</v>
      </c>
      <c r="D613">
        <v>6399</v>
      </c>
      <c r="E613" t="str">
        <f t="shared" si="160"/>
        <v>00</v>
      </c>
      <c r="F613" t="str">
        <f t="shared" si="171"/>
        <v>101</v>
      </c>
      <c r="G613">
        <v>5</v>
      </c>
      <c r="H613" t="str">
        <f t="shared" si="168"/>
        <v>30</v>
      </c>
      <c r="I613" t="str">
        <f t="shared" si="158"/>
        <v>0</v>
      </c>
      <c r="J613" t="str">
        <f t="shared" si="165"/>
        <v>00</v>
      </c>
      <c r="K613">
        <v>20141125</v>
      </c>
      <c r="L613" t="str">
        <f t="shared" si="169"/>
        <v>014595</v>
      </c>
      <c r="M613" t="str">
        <f t="shared" si="170"/>
        <v>00015</v>
      </c>
      <c r="N613" t="s">
        <v>44</v>
      </c>
      <c r="O613">
        <v>68.75</v>
      </c>
      <c r="Q613" t="s">
        <v>33</v>
      </c>
      <c r="R613" t="s">
        <v>34</v>
      </c>
      <c r="S613" t="s">
        <v>35</v>
      </c>
      <c r="T613" t="s">
        <v>35</v>
      </c>
      <c r="U613" t="s">
        <v>34</v>
      </c>
      <c r="V613" t="str">
        <f>""</f>
        <v/>
      </c>
      <c r="W613">
        <v>20141120</v>
      </c>
      <c r="X613" t="s">
        <v>422</v>
      </c>
      <c r="Y613" t="s">
        <v>59</v>
      </c>
      <c r="Z613" t="s">
        <v>59</v>
      </c>
      <c r="AA613">
        <v>0</v>
      </c>
      <c r="AB613" t="s">
        <v>174</v>
      </c>
      <c r="AC613" t="s">
        <v>41</v>
      </c>
      <c r="AD613" t="s">
        <v>40</v>
      </c>
      <c r="AE613" t="str">
        <f t="shared" si="166"/>
        <v>11</v>
      </c>
      <c r="AF613" t="s">
        <v>40</v>
      </c>
    </row>
    <row r="614" spans="1:32" x14ac:dyDescent="0.25">
      <c r="A614">
        <v>5</v>
      </c>
      <c r="B614">
        <v>211</v>
      </c>
      <c r="C614" t="str">
        <f t="shared" si="167"/>
        <v>11</v>
      </c>
      <c r="D614">
        <v>6399</v>
      </c>
      <c r="E614" t="str">
        <f t="shared" si="160"/>
        <v>00</v>
      </c>
      <c r="F614" t="str">
        <f t="shared" si="171"/>
        <v>101</v>
      </c>
      <c r="G614">
        <v>5</v>
      </c>
      <c r="H614" t="str">
        <f t="shared" si="168"/>
        <v>30</v>
      </c>
      <c r="I614" t="str">
        <f t="shared" si="158"/>
        <v>0</v>
      </c>
      <c r="J614" t="str">
        <f t="shared" si="165"/>
        <v>00</v>
      </c>
      <c r="K614">
        <v>20141125</v>
      </c>
      <c r="L614" t="str">
        <f t="shared" si="169"/>
        <v>014595</v>
      </c>
      <c r="M614" t="str">
        <f t="shared" si="170"/>
        <v>00015</v>
      </c>
      <c r="N614" t="s">
        <v>44</v>
      </c>
      <c r="O614">
        <v>113.55</v>
      </c>
      <c r="Q614" t="s">
        <v>33</v>
      </c>
      <c r="R614" t="s">
        <v>34</v>
      </c>
      <c r="S614" t="s">
        <v>35</v>
      </c>
      <c r="T614" t="s">
        <v>35</v>
      </c>
      <c r="U614" t="s">
        <v>34</v>
      </c>
      <c r="V614" t="str">
        <f>""</f>
        <v/>
      </c>
      <c r="W614">
        <v>20141120</v>
      </c>
      <c r="X614" t="s">
        <v>422</v>
      </c>
      <c r="Y614" t="s">
        <v>59</v>
      </c>
      <c r="Z614" t="s">
        <v>59</v>
      </c>
      <c r="AA614">
        <v>0</v>
      </c>
      <c r="AB614" t="s">
        <v>174</v>
      </c>
      <c r="AC614" t="s">
        <v>41</v>
      </c>
      <c r="AD614" t="s">
        <v>40</v>
      </c>
      <c r="AE614" t="str">
        <f t="shared" si="166"/>
        <v>11</v>
      </c>
      <c r="AF614" t="s">
        <v>40</v>
      </c>
    </row>
    <row r="615" spans="1:32" x14ac:dyDescent="0.25">
      <c r="A615">
        <v>5</v>
      </c>
      <c r="B615">
        <v>211</v>
      </c>
      <c r="C615" t="str">
        <f t="shared" si="167"/>
        <v>11</v>
      </c>
      <c r="D615">
        <v>6399</v>
      </c>
      <c r="E615" t="str">
        <f t="shared" si="160"/>
        <v>00</v>
      </c>
      <c r="F615" t="str">
        <f t="shared" si="171"/>
        <v>101</v>
      </c>
      <c r="G615">
        <v>5</v>
      </c>
      <c r="H615" t="str">
        <f t="shared" si="168"/>
        <v>30</v>
      </c>
      <c r="I615" t="str">
        <f t="shared" si="158"/>
        <v>0</v>
      </c>
      <c r="J615" t="str">
        <f t="shared" si="165"/>
        <v>00</v>
      </c>
      <c r="K615">
        <v>20141125</v>
      </c>
      <c r="L615" t="str">
        <f t="shared" si="169"/>
        <v>014595</v>
      </c>
      <c r="M615" t="str">
        <f t="shared" si="170"/>
        <v>00015</v>
      </c>
      <c r="N615" t="s">
        <v>44</v>
      </c>
      <c r="O615">
        <v>82.5</v>
      </c>
      <c r="Q615" t="s">
        <v>33</v>
      </c>
      <c r="R615" t="s">
        <v>34</v>
      </c>
      <c r="S615" t="s">
        <v>35</v>
      </c>
      <c r="T615" t="s">
        <v>35</v>
      </c>
      <c r="U615" t="s">
        <v>34</v>
      </c>
      <c r="V615" t="str">
        <f>""</f>
        <v/>
      </c>
      <c r="W615">
        <v>20141120</v>
      </c>
      <c r="X615" t="s">
        <v>422</v>
      </c>
      <c r="Y615" t="s">
        <v>59</v>
      </c>
      <c r="Z615" t="s">
        <v>59</v>
      </c>
      <c r="AA615">
        <v>0</v>
      </c>
      <c r="AB615" t="s">
        <v>174</v>
      </c>
      <c r="AC615" t="s">
        <v>41</v>
      </c>
      <c r="AD615" t="s">
        <v>40</v>
      </c>
      <c r="AE615" t="str">
        <f t="shared" si="166"/>
        <v>11</v>
      </c>
      <c r="AF615" t="s">
        <v>40</v>
      </c>
    </row>
    <row r="616" spans="1:32" x14ac:dyDescent="0.25">
      <c r="A616">
        <v>5</v>
      </c>
      <c r="B616">
        <v>255</v>
      </c>
      <c r="C616" t="str">
        <f t="shared" si="167"/>
        <v>11</v>
      </c>
      <c r="D616">
        <v>6219</v>
      </c>
      <c r="E616" t="str">
        <f t="shared" si="160"/>
        <v>00</v>
      </c>
      <c r="F616" t="str">
        <f>"999"</f>
        <v>999</v>
      </c>
      <c r="G616">
        <v>5</v>
      </c>
      <c r="H616" t="str">
        <f t="shared" si="168"/>
        <v>30</v>
      </c>
      <c r="I616" t="str">
        <f t="shared" si="158"/>
        <v>0</v>
      </c>
      <c r="J616" t="str">
        <f t="shared" si="165"/>
        <v>00</v>
      </c>
      <c r="K616">
        <v>20141125</v>
      </c>
      <c r="L616" t="str">
        <f t="shared" si="169"/>
        <v>014595</v>
      </c>
      <c r="M616" t="str">
        <f t="shared" si="170"/>
        <v>00015</v>
      </c>
      <c r="N616" t="s">
        <v>44</v>
      </c>
      <c r="O616">
        <v>145</v>
      </c>
      <c r="Q616" t="s">
        <v>33</v>
      </c>
      <c r="R616" t="s">
        <v>34</v>
      </c>
      <c r="S616" t="s">
        <v>35</v>
      </c>
      <c r="T616" t="s">
        <v>35</v>
      </c>
      <c r="U616" t="s">
        <v>34</v>
      </c>
      <c r="V616" t="str">
        <f>""</f>
        <v/>
      </c>
      <c r="W616">
        <v>20141120</v>
      </c>
      <c r="X616" t="s">
        <v>177</v>
      </c>
      <c r="Y616" t="s">
        <v>521</v>
      </c>
      <c r="Z616" t="s">
        <v>521</v>
      </c>
      <c r="AA616">
        <v>0</v>
      </c>
      <c r="AB616" t="s">
        <v>178</v>
      </c>
      <c r="AC616" t="s">
        <v>143</v>
      </c>
      <c r="AD616" t="s">
        <v>40</v>
      </c>
      <c r="AE616" t="str">
        <f t="shared" si="166"/>
        <v>11</v>
      </c>
      <c r="AF616" t="s">
        <v>40</v>
      </c>
    </row>
    <row r="617" spans="1:32" x14ac:dyDescent="0.25">
      <c r="A617">
        <v>5</v>
      </c>
      <c r="B617">
        <v>255</v>
      </c>
      <c r="C617" t="str">
        <f t="shared" si="167"/>
        <v>11</v>
      </c>
      <c r="D617">
        <v>6219</v>
      </c>
      <c r="E617" t="str">
        <f t="shared" ref="E617:E646" si="172">"00"</f>
        <v>00</v>
      </c>
      <c r="F617" t="str">
        <f>"999"</f>
        <v>999</v>
      </c>
      <c r="G617">
        <v>5</v>
      </c>
      <c r="H617" t="str">
        <f t="shared" si="168"/>
        <v>30</v>
      </c>
      <c r="I617" t="str">
        <f t="shared" si="158"/>
        <v>0</v>
      </c>
      <c r="J617" t="str">
        <f t="shared" si="165"/>
        <v>00</v>
      </c>
      <c r="K617">
        <v>20141125</v>
      </c>
      <c r="L617" t="str">
        <f t="shared" si="169"/>
        <v>014595</v>
      </c>
      <c r="M617" t="str">
        <f t="shared" si="170"/>
        <v>00015</v>
      </c>
      <c r="N617" t="s">
        <v>44</v>
      </c>
      <c r="O617">
        <v>125</v>
      </c>
      <c r="Q617" t="s">
        <v>33</v>
      </c>
      <c r="R617" t="s">
        <v>34</v>
      </c>
      <c r="S617" t="s">
        <v>35</v>
      </c>
      <c r="T617" t="s">
        <v>35</v>
      </c>
      <c r="U617" t="s">
        <v>34</v>
      </c>
      <c r="V617" t="str">
        <f>""</f>
        <v/>
      </c>
      <c r="W617">
        <v>20141120</v>
      </c>
      <c r="X617" t="s">
        <v>177</v>
      </c>
      <c r="Y617" t="s">
        <v>521</v>
      </c>
      <c r="Z617" t="s">
        <v>521</v>
      </c>
      <c r="AA617">
        <v>0</v>
      </c>
      <c r="AB617" t="s">
        <v>178</v>
      </c>
      <c r="AC617" t="s">
        <v>143</v>
      </c>
      <c r="AD617" t="s">
        <v>40</v>
      </c>
      <c r="AE617" t="str">
        <f t="shared" si="166"/>
        <v>11</v>
      </c>
      <c r="AF617" t="s">
        <v>40</v>
      </c>
    </row>
    <row r="618" spans="1:32" x14ac:dyDescent="0.25">
      <c r="A618">
        <v>5</v>
      </c>
      <c r="B618">
        <v>255</v>
      </c>
      <c r="C618" t="str">
        <f t="shared" si="167"/>
        <v>11</v>
      </c>
      <c r="D618">
        <v>6219</v>
      </c>
      <c r="E618" t="str">
        <f t="shared" si="172"/>
        <v>00</v>
      </c>
      <c r="F618" t="str">
        <f>"999"</f>
        <v>999</v>
      </c>
      <c r="G618">
        <v>5</v>
      </c>
      <c r="H618" t="str">
        <f t="shared" si="168"/>
        <v>30</v>
      </c>
      <c r="I618" t="str">
        <f t="shared" si="158"/>
        <v>0</v>
      </c>
      <c r="J618" t="str">
        <f t="shared" si="165"/>
        <v>00</v>
      </c>
      <c r="K618">
        <v>20141125</v>
      </c>
      <c r="L618" t="str">
        <f t="shared" si="169"/>
        <v>014595</v>
      </c>
      <c r="M618" t="str">
        <f t="shared" si="170"/>
        <v>00015</v>
      </c>
      <c r="N618" t="s">
        <v>44</v>
      </c>
      <c r="O618">
        <v>125</v>
      </c>
      <c r="Q618" t="s">
        <v>33</v>
      </c>
      <c r="R618" t="s">
        <v>34</v>
      </c>
      <c r="S618" t="s">
        <v>35</v>
      </c>
      <c r="T618" t="s">
        <v>35</v>
      </c>
      <c r="U618" t="s">
        <v>34</v>
      </c>
      <c r="V618" t="str">
        <f>""</f>
        <v/>
      </c>
      <c r="W618">
        <v>20141120</v>
      </c>
      <c r="X618" t="s">
        <v>177</v>
      </c>
      <c r="Y618" t="s">
        <v>521</v>
      </c>
      <c r="Z618" t="s">
        <v>521</v>
      </c>
      <c r="AA618">
        <v>0</v>
      </c>
      <c r="AB618" t="s">
        <v>178</v>
      </c>
      <c r="AC618" t="s">
        <v>143</v>
      </c>
      <c r="AD618" t="s">
        <v>40</v>
      </c>
      <c r="AE618" t="str">
        <f t="shared" si="166"/>
        <v>11</v>
      </c>
      <c r="AF618" t="s">
        <v>40</v>
      </c>
    </row>
    <row r="619" spans="1:32" x14ac:dyDescent="0.25">
      <c r="A619">
        <v>5</v>
      </c>
      <c r="B619">
        <v>420</v>
      </c>
      <c r="C619" t="str">
        <f t="shared" si="167"/>
        <v>11</v>
      </c>
      <c r="D619">
        <v>6399</v>
      </c>
      <c r="E619" t="str">
        <f t="shared" si="172"/>
        <v>00</v>
      </c>
      <c r="F619" t="str">
        <f>"999"</f>
        <v>999</v>
      </c>
      <c r="G619">
        <v>5</v>
      </c>
      <c r="H619" t="str">
        <f>"11"</f>
        <v>11</v>
      </c>
      <c r="I619" t="str">
        <f t="shared" si="158"/>
        <v>0</v>
      </c>
      <c r="J619" t="str">
        <f t="shared" si="165"/>
        <v>00</v>
      </c>
      <c r="K619">
        <v>20141125</v>
      </c>
      <c r="L619" t="str">
        <f t="shared" si="169"/>
        <v>014595</v>
      </c>
      <c r="M619" t="str">
        <f t="shared" si="170"/>
        <v>00015</v>
      </c>
      <c r="N619" t="s">
        <v>44</v>
      </c>
      <c r="O619" s="1">
        <v>1427.92</v>
      </c>
      <c r="Q619" t="s">
        <v>33</v>
      </c>
      <c r="R619" t="s">
        <v>34</v>
      </c>
      <c r="S619" t="s">
        <v>35</v>
      </c>
      <c r="T619" t="s">
        <v>35</v>
      </c>
      <c r="U619" t="s">
        <v>34</v>
      </c>
      <c r="V619" t="str">
        <f>""</f>
        <v/>
      </c>
      <c r="W619">
        <v>20141120</v>
      </c>
      <c r="X619" t="s">
        <v>385</v>
      </c>
      <c r="Y619" t="s">
        <v>522</v>
      </c>
      <c r="Z619" t="s">
        <v>522</v>
      </c>
      <c r="AA619">
        <v>0</v>
      </c>
      <c r="AB619" t="s">
        <v>142</v>
      </c>
      <c r="AC619" t="s">
        <v>143</v>
      </c>
      <c r="AD619" t="s">
        <v>40</v>
      </c>
      <c r="AE619" t="str">
        <f t="shared" si="166"/>
        <v>11</v>
      </c>
      <c r="AF619" t="s">
        <v>40</v>
      </c>
    </row>
    <row r="620" spans="1:32" x14ac:dyDescent="0.25">
      <c r="A620">
        <v>5</v>
      </c>
      <c r="B620">
        <v>420</v>
      </c>
      <c r="C620" t="str">
        <f>"12"</f>
        <v>12</v>
      </c>
      <c r="D620">
        <v>6399</v>
      </c>
      <c r="E620" t="str">
        <f t="shared" si="172"/>
        <v>00</v>
      </c>
      <c r="F620" t="str">
        <f>"999"</f>
        <v>999</v>
      </c>
      <c r="G620">
        <v>5</v>
      </c>
      <c r="H620" t="str">
        <f>"99"</f>
        <v>99</v>
      </c>
      <c r="I620" t="str">
        <f t="shared" si="158"/>
        <v>0</v>
      </c>
      <c r="J620" t="str">
        <f t="shared" si="165"/>
        <v>00</v>
      </c>
      <c r="K620">
        <v>20141125</v>
      </c>
      <c r="L620" t="str">
        <f t="shared" si="169"/>
        <v>014595</v>
      </c>
      <c r="M620" t="str">
        <f t="shared" si="170"/>
        <v>00015</v>
      </c>
      <c r="N620" t="s">
        <v>44</v>
      </c>
      <c r="O620">
        <v>7.94</v>
      </c>
      <c r="Q620" t="s">
        <v>33</v>
      </c>
      <c r="R620" t="s">
        <v>34</v>
      </c>
      <c r="S620" t="s">
        <v>35</v>
      </c>
      <c r="T620" t="s">
        <v>35</v>
      </c>
      <c r="U620" t="s">
        <v>34</v>
      </c>
      <c r="V620" t="str">
        <f>""</f>
        <v/>
      </c>
      <c r="W620">
        <v>20141120</v>
      </c>
      <c r="X620" t="s">
        <v>523</v>
      </c>
      <c r="Y620" t="s">
        <v>59</v>
      </c>
      <c r="Z620" t="s">
        <v>59</v>
      </c>
      <c r="AA620">
        <v>0</v>
      </c>
      <c r="AB620" t="s">
        <v>142</v>
      </c>
      <c r="AC620" t="s">
        <v>143</v>
      </c>
      <c r="AD620" t="s">
        <v>40</v>
      </c>
      <c r="AE620" t="str">
        <f t="shared" si="166"/>
        <v>11</v>
      </c>
      <c r="AF620" t="s">
        <v>40</v>
      </c>
    </row>
    <row r="621" spans="1:32" x14ac:dyDescent="0.25">
      <c r="A621">
        <v>5</v>
      </c>
      <c r="B621">
        <v>420</v>
      </c>
      <c r="C621" t="str">
        <f>"13"</f>
        <v>13</v>
      </c>
      <c r="D621">
        <v>6399</v>
      </c>
      <c r="E621" t="str">
        <f t="shared" si="172"/>
        <v>00</v>
      </c>
      <c r="F621" t="str">
        <f>"001"</f>
        <v>001</v>
      </c>
      <c r="G621">
        <v>5</v>
      </c>
      <c r="H621" t="str">
        <f>"11"</f>
        <v>11</v>
      </c>
      <c r="I621" t="str">
        <f t="shared" si="158"/>
        <v>0</v>
      </c>
      <c r="J621" t="str">
        <f t="shared" si="165"/>
        <v>00</v>
      </c>
      <c r="K621">
        <v>20141125</v>
      </c>
      <c r="L621" t="str">
        <f t="shared" si="169"/>
        <v>014595</v>
      </c>
      <c r="M621" t="str">
        <f t="shared" si="170"/>
        <v>00015</v>
      </c>
      <c r="N621" t="s">
        <v>44</v>
      </c>
      <c r="O621">
        <v>127.77</v>
      </c>
      <c r="Q621" t="s">
        <v>33</v>
      </c>
      <c r="R621" t="s">
        <v>34</v>
      </c>
      <c r="S621" t="s">
        <v>35</v>
      </c>
      <c r="T621" t="s">
        <v>35</v>
      </c>
      <c r="U621" t="s">
        <v>34</v>
      </c>
      <c r="V621" t="str">
        <f>""</f>
        <v/>
      </c>
      <c r="W621">
        <v>20141120</v>
      </c>
      <c r="X621" t="s">
        <v>390</v>
      </c>
      <c r="Y621" t="s">
        <v>59</v>
      </c>
      <c r="Z621" t="s">
        <v>59</v>
      </c>
      <c r="AA621">
        <v>0</v>
      </c>
      <c r="AB621" t="s">
        <v>142</v>
      </c>
      <c r="AC621" t="s">
        <v>41</v>
      </c>
      <c r="AD621" t="s">
        <v>40</v>
      </c>
      <c r="AE621" t="str">
        <f t="shared" si="166"/>
        <v>11</v>
      </c>
      <c r="AF621" t="s">
        <v>40</v>
      </c>
    </row>
    <row r="622" spans="1:32" x14ac:dyDescent="0.25">
      <c r="A622">
        <v>5</v>
      </c>
      <c r="B622">
        <v>420</v>
      </c>
      <c r="C622" t="str">
        <f>"13"</f>
        <v>13</v>
      </c>
      <c r="D622">
        <v>6399</v>
      </c>
      <c r="E622" t="str">
        <f t="shared" si="172"/>
        <v>00</v>
      </c>
      <c r="F622" t="str">
        <f>"001"</f>
        <v>001</v>
      </c>
      <c r="G622">
        <v>5</v>
      </c>
      <c r="H622" t="str">
        <f>"11"</f>
        <v>11</v>
      </c>
      <c r="I622" t="str">
        <f t="shared" si="158"/>
        <v>0</v>
      </c>
      <c r="J622" t="str">
        <f t="shared" si="165"/>
        <v>00</v>
      </c>
      <c r="K622">
        <v>20141125</v>
      </c>
      <c r="L622" t="str">
        <f t="shared" si="169"/>
        <v>014595</v>
      </c>
      <c r="M622" t="str">
        <f t="shared" si="170"/>
        <v>00015</v>
      </c>
      <c r="N622" t="s">
        <v>44</v>
      </c>
      <c r="O622">
        <v>82.19</v>
      </c>
      <c r="Q622" t="s">
        <v>33</v>
      </c>
      <c r="R622" t="s">
        <v>34</v>
      </c>
      <c r="S622" t="s">
        <v>35</v>
      </c>
      <c r="T622" t="s">
        <v>35</v>
      </c>
      <c r="U622" t="s">
        <v>34</v>
      </c>
      <c r="V622" t="str">
        <f>""</f>
        <v/>
      </c>
      <c r="W622">
        <v>20141120</v>
      </c>
      <c r="X622" t="s">
        <v>390</v>
      </c>
      <c r="Y622" t="s">
        <v>59</v>
      </c>
      <c r="Z622" t="s">
        <v>59</v>
      </c>
      <c r="AA622">
        <v>0</v>
      </c>
      <c r="AB622" t="s">
        <v>142</v>
      </c>
      <c r="AC622" t="s">
        <v>41</v>
      </c>
      <c r="AD622" t="s">
        <v>40</v>
      </c>
      <c r="AE622" t="str">
        <f t="shared" si="166"/>
        <v>11</v>
      </c>
      <c r="AF622" t="s">
        <v>40</v>
      </c>
    </row>
    <row r="623" spans="1:32" x14ac:dyDescent="0.25">
      <c r="A623">
        <v>5</v>
      </c>
      <c r="B623">
        <v>420</v>
      </c>
      <c r="C623" t="str">
        <f t="shared" ref="C623:C639" si="173">"51"</f>
        <v>51</v>
      </c>
      <c r="D623">
        <v>6269</v>
      </c>
      <c r="E623" t="str">
        <f t="shared" si="172"/>
        <v>00</v>
      </c>
      <c r="F623" t="str">
        <f t="shared" ref="F623:F639" si="174">"999"</f>
        <v>999</v>
      </c>
      <c r="G623">
        <v>5</v>
      </c>
      <c r="H623" t="str">
        <f t="shared" ref="H623:H639" si="175">"99"</f>
        <v>99</v>
      </c>
      <c r="I623" t="str">
        <f t="shared" si="158"/>
        <v>0</v>
      </c>
      <c r="J623" t="str">
        <f t="shared" si="165"/>
        <v>00</v>
      </c>
      <c r="K623">
        <v>20141125</v>
      </c>
      <c r="L623" t="str">
        <f t="shared" si="169"/>
        <v>014595</v>
      </c>
      <c r="M623" t="str">
        <f t="shared" si="170"/>
        <v>00015</v>
      </c>
      <c r="N623" t="s">
        <v>44</v>
      </c>
      <c r="O623">
        <v>265.60000000000002</v>
      </c>
      <c r="Q623" t="s">
        <v>33</v>
      </c>
      <c r="R623" t="s">
        <v>34</v>
      </c>
      <c r="S623" t="s">
        <v>35</v>
      </c>
      <c r="T623" t="s">
        <v>35</v>
      </c>
      <c r="U623" t="s">
        <v>34</v>
      </c>
      <c r="V623" t="str">
        <f>""</f>
        <v/>
      </c>
      <c r="W623">
        <v>20141120</v>
      </c>
      <c r="X623" t="s">
        <v>225</v>
      </c>
      <c r="Y623" t="s">
        <v>524</v>
      </c>
      <c r="Z623" t="s">
        <v>524</v>
      </c>
      <c r="AA623">
        <v>0</v>
      </c>
      <c r="AB623" t="s">
        <v>142</v>
      </c>
      <c r="AC623" t="s">
        <v>143</v>
      </c>
      <c r="AD623" t="s">
        <v>40</v>
      </c>
      <c r="AE623" t="str">
        <f t="shared" si="166"/>
        <v>11</v>
      </c>
      <c r="AF623" t="s">
        <v>40</v>
      </c>
    </row>
    <row r="624" spans="1:32" x14ac:dyDescent="0.25">
      <c r="A624">
        <v>5</v>
      </c>
      <c r="B624">
        <v>420</v>
      </c>
      <c r="C624" t="str">
        <f t="shared" si="173"/>
        <v>51</v>
      </c>
      <c r="D624">
        <v>6269</v>
      </c>
      <c r="E624" t="str">
        <f t="shared" si="172"/>
        <v>00</v>
      </c>
      <c r="F624" t="str">
        <f t="shared" si="174"/>
        <v>999</v>
      </c>
      <c r="G624">
        <v>5</v>
      </c>
      <c r="H624" t="str">
        <f t="shared" si="175"/>
        <v>99</v>
      </c>
      <c r="I624" t="str">
        <f t="shared" si="158"/>
        <v>0</v>
      </c>
      <c r="J624" t="str">
        <f t="shared" si="165"/>
        <v>00</v>
      </c>
      <c r="K624">
        <v>20141125</v>
      </c>
      <c r="L624" t="str">
        <f t="shared" si="169"/>
        <v>014595</v>
      </c>
      <c r="M624" t="str">
        <f t="shared" si="170"/>
        <v>00015</v>
      </c>
      <c r="N624" t="s">
        <v>44</v>
      </c>
      <c r="O624">
        <v>99</v>
      </c>
      <c r="Q624" t="s">
        <v>33</v>
      </c>
      <c r="R624" t="s">
        <v>34</v>
      </c>
      <c r="S624" t="s">
        <v>35</v>
      </c>
      <c r="T624" t="s">
        <v>35</v>
      </c>
      <c r="U624" t="s">
        <v>34</v>
      </c>
      <c r="V624" t="str">
        <f>""</f>
        <v/>
      </c>
      <c r="W624">
        <v>20141120</v>
      </c>
      <c r="X624" t="s">
        <v>225</v>
      </c>
      <c r="Y624" t="s">
        <v>525</v>
      </c>
      <c r="Z624" t="s">
        <v>525</v>
      </c>
      <c r="AA624">
        <v>0</v>
      </c>
      <c r="AB624" t="s">
        <v>142</v>
      </c>
      <c r="AC624" t="s">
        <v>143</v>
      </c>
      <c r="AD624" t="s">
        <v>40</v>
      </c>
      <c r="AE624" t="str">
        <f t="shared" si="166"/>
        <v>11</v>
      </c>
      <c r="AF624" t="s">
        <v>40</v>
      </c>
    </row>
    <row r="625" spans="1:32" x14ac:dyDescent="0.25">
      <c r="A625">
        <v>5</v>
      </c>
      <c r="B625">
        <v>420</v>
      </c>
      <c r="C625" t="str">
        <f t="shared" si="173"/>
        <v>51</v>
      </c>
      <c r="D625">
        <v>6319</v>
      </c>
      <c r="E625" t="str">
        <f t="shared" si="172"/>
        <v>00</v>
      </c>
      <c r="F625" t="str">
        <f t="shared" si="174"/>
        <v>999</v>
      </c>
      <c r="G625">
        <v>5</v>
      </c>
      <c r="H625" t="str">
        <f t="shared" si="175"/>
        <v>99</v>
      </c>
      <c r="I625" t="str">
        <f t="shared" si="158"/>
        <v>0</v>
      </c>
      <c r="J625" t="str">
        <f t="shared" si="165"/>
        <v>00</v>
      </c>
      <c r="K625">
        <v>20141125</v>
      </c>
      <c r="L625" t="str">
        <f t="shared" si="169"/>
        <v>014595</v>
      </c>
      <c r="M625" t="str">
        <f t="shared" si="170"/>
        <v>00015</v>
      </c>
      <c r="N625" t="s">
        <v>44</v>
      </c>
      <c r="O625">
        <v>34.770000000000003</v>
      </c>
      <c r="Q625" t="s">
        <v>33</v>
      </c>
      <c r="R625" t="s">
        <v>34</v>
      </c>
      <c r="S625" t="s">
        <v>35</v>
      </c>
      <c r="T625" t="s">
        <v>35</v>
      </c>
      <c r="U625" t="s">
        <v>34</v>
      </c>
      <c r="V625" t="str">
        <f>""</f>
        <v/>
      </c>
      <c r="W625">
        <v>20141120</v>
      </c>
      <c r="X625" t="s">
        <v>185</v>
      </c>
      <c r="Y625" t="s">
        <v>526</v>
      </c>
      <c r="Z625" t="s">
        <v>526</v>
      </c>
      <c r="AA625">
        <v>0</v>
      </c>
      <c r="AB625" t="s">
        <v>142</v>
      </c>
      <c r="AC625" t="s">
        <v>143</v>
      </c>
      <c r="AD625" t="s">
        <v>40</v>
      </c>
      <c r="AE625" t="str">
        <f t="shared" si="166"/>
        <v>11</v>
      </c>
      <c r="AF625" t="s">
        <v>40</v>
      </c>
    </row>
    <row r="626" spans="1:32" x14ac:dyDescent="0.25">
      <c r="A626">
        <v>5</v>
      </c>
      <c r="B626">
        <v>420</v>
      </c>
      <c r="C626" t="str">
        <f t="shared" si="173"/>
        <v>51</v>
      </c>
      <c r="D626">
        <v>6319</v>
      </c>
      <c r="E626" t="str">
        <f t="shared" si="172"/>
        <v>00</v>
      </c>
      <c r="F626" t="str">
        <f t="shared" si="174"/>
        <v>999</v>
      </c>
      <c r="G626">
        <v>5</v>
      </c>
      <c r="H626" t="str">
        <f t="shared" si="175"/>
        <v>99</v>
      </c>
      <c r="I626" t="str">
        <f t="shared" si="158"/>
        <v>0</v>
      </c>
      <c r="J626" t="str">
        <f t="shared" si="165"/>
        <v>00</v>
      </c>
      <c r="K626">
        <v>20141125</v>
      </c>
      <c r="L626" t="str">
        <f t="shared" si="169"/>
        <v>014595</v>
      </c>
      <c r="M626" t="str">
        <f t="shared" si="170"/>
        <v>00015</v>
      </c>
      <c r="N626" t="s">
        <v>44</v>
      </c>
      <c r="O626">
        <v>238</v>
      </c>
      <c r="Q626" t="s">
        <v>33</v>
      </c>
      <c r="R626" t="s">
        <v>34</v>
      </c>
      <c r="S626" t="s">
        <v>35</v>
      </c>
      <c r="T626" t="s">
        <v>35</v>
      </c>
      <c r="U626" t="s">
        <v>34</v>
      </c>
      <c r="V626" t="str">
        <f>""</f>
        <v/>
      </c>
      <c r="W626">
        <v>20141120</v>
      </c>
      <c r="X626" t="s">
        <v>185</v>
      </c>
      <c r="Y626" t="s">
        <v>527</v>
      </c>
      <c r="Z626" t="s">
        <v>527</v>
      </c>
      <c r="AA626">
        <v>0</v>
      </c>
      <c r="AB626" t="s">
        <v>142</v>
      </c>
      <c r="AC626" t="s">
        <v>143</v>
      </c>
      <c r="AD626" t="s">
        <v>40</v>
      </c>
      <c r="AE626" t="str">
        <f t="shared" si="166"/>
        <v>11</v>
      </c>
      <c r="AF626" t="s">
        <v>40</v>
      </c>
    </row>
    <row r="627" spans="1:32" x14ac:dyDescent="0.25">
      <c r="A627">
        <v>5</v>
      </c>
      <c r="B627">
        <v>420</v>
      </c>
      <c r="C627" t="str">
        <f t="shared" si="173"/>
        <v>51</v>
      </c>
      <c r="D627">
        <v>6319</v>
      </c>
      <c r="E627" t="str">
        <f t="shared" si="172"/>
        <v>00</v>
      </c>
      <c r="F627" t="str">
        <f t="shared" si="174"/>
        <v>999</v>
      </c>
      <c r="G627">
        <v>5</v>
      </c>
      <c r="H627" t="str">
        <f t="shared" si="175"/>
        <v>99</v>
      </c>
      <c r="I627" t="str">
        <f t="shared" si="158"/>
        <v>0</v>
      </c>
      <c r="J627" t="str">
        <f t="shared" si="165"/>
        <v>00</v>
      </c>
      <c r="K627">
        <v>20141125</v>
      </c>
      <c r="L627" t="str">
        <f t="shared" si="169"/>
        <v>014595</v>
      </c>
      <c r="M627" t="str">
        <f t="shared" si="170"/>
        <v>00015</v>
      </c>
      <c r="N627" t="s">
        <v>44</v>
      </c>
      <c r="O627">
        <v>118.73</v>
      </c>
      <c r="Q627" t="s">
        <v>33</v>
      </c>
      <c r="R627" t="s">
        <v>34</v>
      </c>
      <c r="S627" t="s">
        <v>35</v>
      </c>
      <c r="T627" t="s">
        <v>35</v>
      </c>
      <c r="U627" t="s">
        <v>34</v>
      </c>
      <c r="V627" t="str">
        <f>""</f>
        <v/>
      </c>
      <c r="W627">
        <v>20141120</v>
      </c>
      <c r="X627" t="s">
        <v>185</v>
      </c>
      <c r="Y627" t="s">
        <v>528</v>
      </c>
      <c r="Z627" t="s">
        <v>528</v>
      </c>
      <c r="AA627">
        <v>0</v>
      </c>
      <c r="AB627" t="s">
        <v>142</v>
      </c>
      <c r="AC627" t="s">
        <v>143</v>
      </c>
      <c r="AD627" t="s">
        <v>40</v>
      </c>
      <c r="AE627" t="str">
        <f t="shared" si="166"/>
        <v>11</v>
      </c>
      <c r="AF627" t="s">
        <v>40</v>
      </c>
    </row>
    <row r="628" spans="1:32" x14ac:dyDescent="0.25">
      <c r="A628">
        <v>5</v>
      </c>
      <c r="B628">
        <v>420</v>
      </c>
      <c r="C628" t="str">
        <f t="shared" si="173"/>
        <v>51</v>
      </c>
      <c r="D628">
        <v>6319</v>
      </c>
      <c r="E628" t="str">
        <f t="shared" si="172"/>
        <v>00</v>
      </c>
      <c r="F628" t="str">
        <f t="shared" si="174"/>
        <v>999</v>
      </c>
      <c r="G628">
        <v>5</v>
      </c>
      <c r="H628" t="str">
        <f t="shared" si="175"/>
        <v>99</v>
      </c>
      <c r="I628" t="str">
        <f t="shared" si="158"/>
        <v>0</v>
      </c>
      <c r="J628" t="str">
        <f t="shared" si="165"/>
        <v>00</v>
      </c>
      <c r="K628">
        <v>20141125</v>
      </c>
      <c r="L628" t="str">
        <f t="shared" si="169"/>
        <v>014595</v>
      </c>
      <c r="M628" t="str">
        <f t="shared" si="170"/>
        <v>00015</v>
      </c>
      <c r="N628" t="s">
        <v>44</v>
      </c>
      <c r="O628">
        <v>934.8</v>
      </c>
      <c r="Q628" t="s">
        <v>33</v>
      </c>
      <c r="R628" t="s">
        <v>34</v>
      </c>
      <c r="S628" t="s">
        <v>35</v>
      </c>
      <c r="T628" t="s">
        <v>35</v>
      </c>
      <c r="U628" t="s">
        <v>34</v>
      </c>
      <c r="V628" t="str">
        <f>""</f>
        <v/>
      </c>
      <c r="W628">
        <v>20141120</v>
      </c>
      <c r="X628" t="s">
        <v>185</v>
      </c>
      <c r="Y628" t="s">
        <v>529</v>
      </c>
      <c r="Z628" t="s">
        <v>529</v>
      </c>
      <c r="AA628">
        <v>0</v>
      </c>
      <c r="AB628" t="s">
        <v>142</v>
      </c>
      <c r="AC628" t="s">
        <v>143</v>
      </c>
      <c r="AD628" t="s">
        <v>40</v>
      </c>
      <c r="AE628" t="str">
        <f t="shared" si="166"/>
        <v>11</v>
      </c>
      <c r="AF628" t="s">
        <v>40</v>
      </c>
    </row>
    <row r="629" spans="1:32" x14ac:dyDescent="0.25">
      <c r="A629">
        <v>5</v>
      </c>
      <c r="B629">
        <v>420</v>
      </c>
      <c r="C629" t="str">
        <f t="shared" si="173"/>
        <v>51</v>
      </c>
      <c r="D629">
        <v>6319</v>
      </c>
      <c r="E629" t="str">
        <f t="shared" si="172"/>
        <v>00</v>
      </c>
      <c r="F629" t="str">
        <f t="shared" si="174"/>
        <v>999</v>
      </c>
      <c r="G629">
        <v>5</v>
      </c>
      <c r="H629" t="str">
        <f t="shared" si="175"/>
        <v>99</v>
      </c>
      <c r="I629" t="str">
        <f t="shared" si="158"/>
        <v>0</v>
      </c>
      <c r="J629" t="str">
        <f t="shared" si="165"/>
        <v>00</v>
      </c>
      <c r="K629">
        <v>20141125</v>
      </c>
      <c r="L629" t="str">
        <f t="shared" si="169"/>
        <v>014595</v>
      </c>
      <c r="M629" t="str">
        <f t="shared" si="170"/>
        <v>00015</v>
      </c>
      <c r="N629" t="s">
        <v>44</v>
      </c>
      <c r="O629">
        <v>19.27</v>
      </c>
      <c r="Q629" t="s">
        <v>33</v>
      </c>
      <c r="R629" t="s">
        <v>34</v>
      </c>
      <c r="S629" t="s">
        <v>35</v>
      </c>
      <c r="T629" t="s">
        <v>35</v>
      </c>
      <c r="U629" t="s">
        <v>34</v>
      </c>
      <c r="V629" t="str">
        <f>""</f>
        <v/>
      </c>
      <c r="W629">
        <v>20141120</v>
      </c>
      <c r="X629" t="s">
        <v>185</v>
      </c>
      <c r="Y629" t="s">
        <v>530</v>
      </c>
      <c r="Z629" t="s">
        <v>530</v>
      </c>
      <c r="AA629">
        <v>0</v>
      </c>
      <c r="AB629" t="s">
        <v>142</v>
      </c>
      <c r="AC629" t="s">
        <v>143</v>
      </c>
      <c r="AD629" t="s">
        <v>40</v>
      </c>
      <c r="AE629" t="str">
        <f t="shared" si="166"/>
        <v>11</v>
      </c>
      <c r="AF629" t="s">
        <v>40</v>
      </c>
    </row>
    <row r="630" spans="1:32" x14ac:dyDescent="0.25">
      <c r="A630">
        <v>5</v>
      </c>
      <c r="B630">
        <v>420</v>
      </c>
      <c r="C630" t="str">
        <f t="shared" si="173"/>
        <v>51</v>
      </c>
      <c r="D630">
        <v>6319</v>
      </c>
      <c r="E630" t="str">
        <f t="shared" si="172"/>
        <v>00</v>
      </c>
      <c r="F630" t="str">
        <f t="shared" si="174"/>
        <v>999</v>
      </c>
      <c r="G630">
        <v>5</v>
      </c>
      <c r="H630" t="str">
        <f t="shared" si="175"/>
        <v>99</v>
      </c>
      <c r="I630" t="str">
        <f t="shared" si="158"/>
        <v>0</v>
      </c>
      <c r="J630" t="str">
        <f t="shared" si="165"/>
        <v>00</v>
      </c>
      <c r="K630">
        <v>20141125</v>
      </c>
      <c r="L630" t="str">
        <f t="shared" si="169"/>
        <v>014595</v>
      </c>
      <c r="M630" t="str">
        <f t="shared" si="170"/>
        <v>00015</v>
      </c>
      <c r="N630" t="s">
        <v>44</v>
      </c>
      <c r="O630">
        <v>150.5</v>
      </c>
      <c r="Q630" t="s">
        <v>33</v>
      </c>
      <c r="R630" t="s">
        <v>34</v>
      </c>
      <c r="S630" t="s">
        <v>35</v>
      </c>
      <c r="T630" t="s">
        <v>35</v>
      </c>
      <c r="U630" t="s">
        <v>34</v>
      </c>
      <c r="V630" t="str">
        <f>""</f>
        <v/>
      </c>
      <c r="W630">
        <v>20141120</v>
      </c>
      <c r="X630" t="s">
        <v>185</v>
      </c>
      <c r="Y630" t="s">
        <v>531</v>
      </c>
      <c r="Z630" t="s">
        <v>531</v>
      </c>
      <c r="AA630">
        <v>0</v>
      </c>
      <c r="AB630" t="s">
        <v>142</v>
      </c>
      <c r="AC630" t="s">
        <v>143</v>
      </c>
      <c r="AD630" t="s">
        <v>40</v>
      </c>
      <c r="AE630" t="str">
        <f t="shared" si="166"/>
        <v>11</v>
      </c>
      <c r="AF630" t="s">
        <v>40</v>
      </c>
    </row>
    <row r="631" spans="1:32" x14ac:dyDescent="0.25">
      <c r="A631">
        <v>5</v>
      </c>
      <c r="B631">
        <v>420</v>
      </c>
      <c r="C631" t="str">
        <f t="shared" si="173"/>
        <v>51</v>
      </c>
      <c r="D631">
        <v>6319</v>
      </c>
      <c r="E631" t="str">
        <f t="shared" si="172"/>
        <v>00</v>
      </c>
      <c r="F631" t="str">
        <f t="shared" si="174"/>
        <v>999</v>
      </c>
      <c r="G631">
        <v>5</v>
      </c>
      <c r="H631" t="str">
        <f t="shared" si="175"/>
        <v>99</v>
      </c>
      <c r="I631" t="str">
        <f t="shared" si="158"/>
        <v>0</v>
      </c>
      <c r="J631" t="str">
        <f t="shared" si="165"/>
        <v>00</v>
      </c>
      <c r="K631">
        <v>20141125</v>
      </c>
      <c r="L631" t="str">
        <f t="shared" si="169"/>
        <v>014595</v>
      </c>
      <c r="M631" t="str">
        <f t="shared" si="170"/>
        <v>00015</v>
      </c>
      <c r="N631" t="s">
        <v>44</v>
      </c>
      <c r="O631">
        <v>170.36</v>
      </c>
      <c r="Q631" t="s">
        <v>33</v>
      </c>
      <c r="R631" t="s">
        <v>34</v>
      </c>
      <c r="S631" t="s">
        <v>35</v>
      </c>
      <c r="T631" t="s">
        <v>35</v>
      </c>
      <c r="U631" t="s">
        <v>34</v>
      </c>
      <c r="V631" t="str">
        <f>""</f>
        <v/>
      </c>
      <c r="W631">
        <v>20141120</v>
      </c>
      <c r="X631" t="s">
        <v>185</v>
      </c>
      <c r="Y631" t="s">
        <v>529</v>
      </c>
      <c r="Z631" t="s">
        <v>529</v>
      </c>
      <c r="AA631">
        <v>0</v>
      </c>
      <c r="AB631" t="s">
        <v>142</v>
      </c>
      <c r="AC631" t="s">
        <v>143</v>
      </c>
      <c r="AD631" t="s">
        <v>40</v>
      </c>
      <c r="AE631" t="str">
        <f t="shared" si="166"/>
        <v>11</v>
      </c>
      <c r="AF631" t="s">
        <v>40</v>
      </c>
    </row>
    <row r="632" spans="1:32" x14ac:dyDescent="0.25">
      <c r="A632">
        <v>5</v>
      </c>
      <c r="B632">
        <v>420</v>
      </c>
      <c r="C632" t="str">
        <f t="shared" si="173"/>
        <v>51</v>
      </c>
      <c r="D632">
        <v>6319</v>
      </c>
      <c r="E632" t="str">
        <f t="shared" si="172"/>
        <v>00</v>
      </c>
      <c r="F632" t="str">
        <f t="shared" si="174"/>
        <v>999</v>
      </c>
      <c r="G632">
        <v>5</v>
      </c>
      <c r="H632" t="str">
        <f t="shared" si="175"/>
        <v>99</v>
      </c>
      <c r="I632" t="str">
        <f t="shared" si="158"/>
        <v>0</v>
      </c>
      <c r="J632" t="str">
        <f t="shared" si="165"/>
        <v>00</v>
      </c>
      <c r="K632">
        <v>20141125</v>
      </c>
      <c r="L632" t="str">
        <f t="shared" si="169"/>
        <v>014595</v>
      </c>
      <c r="M632" t="str">
        <f t="shared" si="170"/>
        <v>00015</v>
      </c>
      <c r="N632" t="s">
        <v>44</v>
      </c>
      <c r="O632" s="1">
        <v>4693.0200000000004</v>
      </c>
      <c r="Q632" t="s">
        <v>33</v>
      </c>
      <c r="R632" t="s">
        <v>34</v>
      </c>
      <c r="S632" t="s">
        <v>35</v>
      </c>
      <c r="T632" t="s">
        <v>35</v>
      </c>
      <c r="U632" t="s">
        <v>34</v>
      </c>
      <c r="V632" t="str">
        <f>""</f>
        <v/>
      </c>
      <c r="W632">
        <v>20141120</v>
      </c>
      <c r="X632" t="s">
        <v>185</v>
      </c>
      <c r="Y632" t="s">
        <v>532</v>
      </c>
      <c r="Z632" t="s">
        <v>532</v>
      </c>
      <c r="AA632">
        <v>0</v>
      </c>
      <c r="AB632" t="s">
        <v>142</v>
      </c>
      <c r="AC632" t="s">
        <v>143</v>
      </c>
      <c r="AD632" t="s">
        <v>40</v>
      </c>
      <c r="AE632" t="str">
        <f t="shared" si="166"/>
        <v>11</v>
      </c>
      <c r="AF632" t="s">
        <v>40</v>
      </c>
    </row>
    <row r="633" spans="1:32" x14ac:dyDescent="0.25">
      <c r="A633">
        <v>5</v>
      </c>
      <c r="B633">
        <v>420</v>
      </c>
      <c r="C633" t="str">
        <f t="shared" si="173"/>
        <v>51</v>
      </c>
      <c r="D633">
        <v>6319</v>
      </c>
      <c r="E633" t="str">
        <f t="shared" si="172"/>
        <v>00</v>
      </c>
      <c r="F633" t="str">
        <f t="shared" si="174"/>
        <v>999</v>
      </c>
      <c r="G633">
        <v>5</v>
      </c>
      <c r="H633" t="str">
        <f t="shared" si="175"/>
        <v>99</v>
      </c>
      <c r="I633" t="str">
        <f t="shared" si="158"/>
        <v>0</v>
      </c>
      <c r="J633" t="str">
        <f t="shared" si="165"/>
        <v>00</v>
      </c>
      <c r="K633">
        <v>20141125</v>
      </c>
      <c r="L633" t="str">
        <f t="shared" si="169"/>
        <v>014595</v>
      </c>
      <c r="M633" t="str">
        <f t="shared" si="170"/>
        <v>00015</v>
      </c>
      <c r="N633" t="s">
        <v>44</v>
      </c>
      <c r="O633">
        <v>270.3</v>
      </c>
      <c r="Q633" t="s">
        <v>33</v>
      </c>
      <c r="R633" t="s">
        <v>34</v>
      </c>
      <c r="S633" t="s">
        <v>35</v>
      </c>
      <c r="T633" t="s">
        <v>35</v>
      </c>
      <c r="U633" t="s">
        <v>34</v>
      </c>
      <c r="V633" t="str">
        <f>""</f>
        <v/>
      </c>
      <c r="W633">
        <v>20141120</v>
      </c>
      <c r="X633" t="s">
        <v>185</v>
      </c>
      <c r="Y633" t="s">
        <v>533</v>
      </c>
      <c r="Z633" t="s">
        <v>533</v>
      </c>
      <c r="AA633">
        <v>0</v>
      </c>
      <c r="AB633" t="s">
        <v>142</v>
      </c>
      <c r="AC633" t="s">
        <v>143</v>
      </c>
      <c r="AD633" t="s">
        <v>40</v>
      </c>
      <c r="AE633" t="str">
        <f t="shared" ref="AE633:AE639" si="176">"11"</f>
        <v>11</v>
      </c>
      <c r="AF633" t="s">
        <v>40</v>
      </c>
    </row>
    <row r="634" spans="1:32" x14ac:dyDescent="0.25">
      <c r="A634">
        <v>5</v>
      </c>
      <c r="B634">
        <v>420</v>
      </c>
      <c r="C634" t="str">
        <f t="shared" si="173"/>
        <v>51</v>
      </c>
      <c r="D634">
        <v>6319</v>
      </c>
      <c r="E634" t="str">
        <f t="shared" si="172"/>
        <v>00</v>
      </c>
      <c r="F634" t="str">
        <f t="shared" si="174"/>
        <v>999</v>
      </c>
      <c r="G634">
        <v>5</v>
      </c>
      <c r="H634" t="str">
        <f t="shared" si="175"/>
        <v>99</v>
      </c>
      <c r="I634" t="str">
        <f t="shared" si="158"/>
        <v>0</v>
      </c>
      <c r="J634" t="str">
        <f t="shared" si="165"/>
        <v>00</v>
      </c>
      <c r="K634">
        <v>20141125</v>
      </c>
      <c r="L634" t="str">
        <f t="shared" si="169"/>
        <v>014595</v>
      </c>
      <c r="M634" t="str">
        <f t="shared" si="170"/>
        <v>00015</v>
      </c>
      <c r="N634" t="s">
        <v>44</v>
      </c>
      <c r="O634">
        <v>680.4</v>
      </c>
      <c r="Q634" t="s">
        <v>33</v>
      </c>
      <c r="R634" t="s">
        <v>34</v>
      </c>
      <c r="S634" t="s">
        <v>35</v>
      </c>
      <c r="T634" t="s">
        <v>35</v>
      </c>
      <c r="U634" t="s">
        <v>34</v>
      </c>
      <c r="V634" t="str">
        <f>""</f>
        <v/>
      </c>
      <c r="W634">
        <v>20141120</v>
      </c>
      <c r="X634" t="s">
        <v>185</v>
      </c>
      <c r="Y634" t="s">
        <v>534</v>
      </c>
      <c r="Z634" t="s">
        <v>534</v>
      </c>
      <c r="AA634">
        <v>0</v>
      </c>
      <c r="AB634" t="s">
        <v>142</v>
      </c>
      <c r="AC634" t="s">
        <v>143</v>
      </c>
      <c r="AD634" t="s">
        <v>40</v>
      </c>
      <c r="AE634" t="str">
        <f t="shared" si="176"/>
        <v>11</v>
      </c>
      <c r="AF634" t="s">
        <v>40</v>
      </c>
    </row>
    <row r="635" spans="1:32" x14ac:dyDescent="0.25">
      <c r="A635">
        <v>5</v>
      </c>
      <c r="B635">
        <v>420</v>
      </c>
      <c r="C635" t="str">
        <f t="shared" si="173"/>
        <v>51</v>
      </c>
      <c r="D635">
        <v>6319</v>
      </c>
      <c r="E635" t="str">
        <f t="shared" si="172"/>
        <v>00</v>
      </c>
      <c r="F635" t="str">
        <f t="shared" si="174"/>
        <v>999</v>
      </c>
      <c r="G635">
        <v>5</v>
      </c>
      <c r="H635" t="str">
        <f t="shared" si="175"/>
        <v>99</v>
      </c>
      <c r="I635" t="str">
        <f t="shared" si="158"/>
        <v>0</v>
      </c>
      <c r="J635" t="str">
        <f t="shared" si="165"/>
        <v>00</v>
      </c>
      <c r="K635">
        <v>20141125</v>
      </c>
      <c r="L635" t="str">
        <f t="shared" si="169"/>
        <v>014595</v>
      </c>
      <c r="M635" t="str">
        <f t="shared" si="170"/>
        <v>00015</v>
      </c>
      <c r="N635" t="s">
        <v>44</v>
      </c>
      <c r="O635">
        <v>656.67</v>
      </c>
      <c r="Q635" t="s">
        <v>33</v>
      </c>
      <c r="R635" t="s">
        <v>34</v>
      </c>
      <c r="S635" t="s">
        <v>35</v>
      </c>
      <c r="T635" t="s">
        <v>35</v>
      </c>
      <c r="U635" t="s">
        <v>34</v>
      </c>
      <c r="V635" t="str">
        <f>""</f>
        <v/>
      </c>
      <c r="W635">
        <v>20141120</v>
      </c>
      <c r="X635" t="s">
        <v>185</v>
      </c>
      <c r="Y635" t="s">
        <v>534</v>
      </c>
      <c r="Z635" t="s">
        <v>534</v>
      </c>
      <c r="AA635">
        <v>0</v>
      </c>
      <c r="AB635" t="s">
        <v>142</v>
      </c>
      <c r="AC635" t="s">
        <v>143</v>
      </c>
      <c r="AD635" t="s">
        <v>40</v>
      </c>
      <c r="AE635" t="str">
        <f t="shared" si="176"/>
        <v>11</v>
      </c>
      <c r="AF635" t="s">
        <v>40</v>
      </c>
    </row>
    <row r="636" spans="1:32" x14ac:dyDescent="0.25">
      <c r="A636">
        <v>5</v>
      </c>
      <c r="B636">
        <v>420</v>
      </c>
      <c r="C636" t="str">
        <f t="shared" si="173"/>
        <v>51</v>
      </c>
      <c r="D636">
        <v>6319</v>
      </c>
      <c r="E636" t="str">
        <f t="shared" si="172"/>
        <v>00</v>
      </c>
      <c r="F636" t="str">
        <f t="shared" si="174"/>
        <v>999</v>
      </c>
      <c r="G636">
        <v>5</v>
      </c>
      <c r="H636" t="str">
        <f t="shared" si="175"/>
        <v>99</v>
      </c>
      <c r="I636" t="str">
        <f t="shared" si="158"/>
        <v>0</v>
      </c>
      <c r="J636" t="str">
        <f t="shared" si="165"/>
        <v>00</v>
      </c>
      <c r="K636">
        <v>20141125</v>
      </c>
      <c r="L636" t="str">
        <f t="shared" si="169"/>
        <v>014595</v>
      </c>
      <c r="M636" t="str">
        <f t="shared" si="170"/>
        <v>00015</v>
      </c>
      <c r="N636" t="s">
        <v>44</v>
      </c>
      <c r="O636" s="1">
        <v>1569.9</v>
      </c>
      <c r="Q636" t="s">
        <v>33</v>
      </c>
      <c r="R636" t="s">
        <v>34</v>
      </c>
      <c r="S636" t="s">
        <v>35</v>
      </c>
      <c r="T636" t="s">
        <v>35</v>
      </c>
      <c r="U636" t="s">
        <v>34</v>
      </c>
      <c r="V636" t="str">
        <f>""</f>
        <v/>
      </c>
      <c r="W636">
        <v>20141120</v>
      </c>
      <c r="X636" t="s">
        <v>185</v>
      </c>
      <c r="Y636" t="s">
        <v>535</v>
      </c>
      <c r="Z636" t="s">
        <v>535</v>
      </c>
      <c r="AA636">
        <v>0</v>
      </c>
      <c r="AB636" t="s">
        <v>142</v>
      </c>
      <c r="AC636" t="s">
        <v>143</v>
      </c>
      <c r="AD636" t="s">
        <v>40</v>
      </c>
      <c r="AE636" t="str">
        <f t="shared" si="176"/>
        <v>11</v>
      </c>
      <c r="AF636" t="s">
        <v>40</v>
      </c>
    </row>
    <row r="637" spans="1:32" x14ac:dyDescent="0.25">
      <c r="A637">
        <v>5</v>
      </c>
      <c r="B637">
        <v>420</v>
      </c>
      <c r="C637" t="str">
        <f t="shared" si="173"/>
        <v>51</v>
      </c>
      <c r="D637">
        <v>6319</v>
      </c>
      <c r="E637" t="str">
        <f t="shared" si="172"/>
        <v>00</v>
      </c>
      <c r="F637" t="str">
        <f t="shared" si="174"/>
        <v>999</v>
      </c>
      <c r="G637">
        <v>5</v>
      </c>
      <c r="H637" t="str">
        <f t="shared" si="175"/>
        <v>99</v>
      </c>
      <c r="I637" t="str">
        <f t="shared" si="158"/>
        <v>0</v>
      </c>
      <c r="J637" t="str">
        <f t="shared" si="165"/>
        <v>00</v>
      </c>
      <c r="K637">
        <v>20141125</v>
      </c>
      <c r="L637" t="str">
        <f t="shared" si="169"/>
        <v>014595</v>
      </c>
      <c r="M637" t="str">
        <f t="shared" si="170"/>
        <v>00015</v>
      </c>
      <c r="N637" t="s">
        <v>44</v>
      </c>
      <c r="O637" s="1">
        <v>5037.5</v>
      </c>
      <c r="Q637" t="s">
        <v>33</v>
      </c>
      <c r="R637" t="s">
        <v>34</v>
      </c>
      <c r="S637" t="s">
        <v>35</v>
      </c>
      <c r="T637" t="s">
        <v>35</v>
      </c>
      <c r="U637" t="s">
        <v>34</v>
      </c>
      <c r="V637" t="str">
        <f>""</f>
        <v/>
      </c>
      <c r="W637">
        <v>20141120</v>
      </c>
      <c r="X637" t="s">
        <v>185</v>
      </c>
      <c r="Y637" t="s">
        <v>536</v>
      </c>
      <c r="Z637" t="s">
        <v>536</v>
      </c>
      <c r="AA637">
        <v>0</v>
      </c>
      <c r="AB637" t="s">
        <v>142</v>
      </c>
      <c r="AC637" t="s">
        <v>143</v>
      </c>
      <c r="AD637" t="s">
        <v>40</v>
      </c>
      <c r="AE637" t="str">
        <f t="shared" si="176"/>
        <v>11</v>
      </c>
      <c r="AF637" t="s">
        <v>40</v>
      </c>
    </row>
    <row r="638" spans="1:32" x14ac:dyDescent="0.25">
      <c r="A638">
        <v>5</v>
      </c>
      <c r="B638">
        <v>420</v>
      </c>
      <c r="C638" t="str">
        <f t="shared" si="173"/>
        <v>51</v>
      </c>
      <c r="D638">
        <v>6319</v>
      </c>
      <c r="E638" t="str">
        <f t="shared" si="172"/>
        <v>00</v>
      </c>
      <c r="F638" t="str">
        <f t="shared" si="174"/>
        <v>999</v>
      </c>
      <c r="G638">
        <v>5</v>
      </c>
      <c r="H638" t="str">
        <f t="shared" si="175"/>
        <v>99</v>
      </c>
      <c r="I638" t="str">
        <f t="shared" si="158"/>
        <v>0</v>
      </c>
      <c r="J638" t="str">
        <f t="shared" si="165"/>
        <v>00</v>
      </c>
      <c r="K638">
        <v>20141125</v>
      </c>
      <c r="L638" t="str">
        <f t="shared" si="169"/>
        <v>014595</v>
      </c>
      <c r="M638" t="str">
        <f t="shared" si="170"/>
        <v>00015</v>
      </c>
      <c r="N638" t="s">
        <v>44</v>
      </c>
      <c r="O638">
        <v>553.41</v>
      </c>
      <c r="Q638" t="s">
        <v>33</v>
      </c>
      <c r="R638" t="s">
        <v>34</v>
      </c>
      <c r="S638" t="s">
        <v>35</v>
      </c>
      <c r="T638" t="s">
        <v>35</v>
      </c>
      <c r="U638" t="s">
        <v>34</v>
      </c>
      <c r="V638" t="str">
        <f>""</f>
        <v/>
      </c>
      <c r="W638">
        <v>20141120</v>
      </c>
      <c r="X638" t="s">
        <v>185</v>
      </c>
      <c r="Y638" t="s">
        <v>530</v>
      </c>
      <c r="Z638" t="s">
        <v>530</v>
      </c>
      <c r="AA638">
        <v>0</v>
      </c>
      <c r="AB638" t="s">
        <v>142</v>
      </c>
      <c r="AC638" t="s">
        <v>143</v>
      </c>
      <c r="AD638" t="s">
        <v>40</v>
      </c>
      <c r="AE638" t="str">
        <f t="shared" si="176"/>
        <v>11</v>
      </c>
      <c r="AF638" t="s">
        <v>40</v>
      </c>
    </row>
    <row r="639" spans="1:32" x14ac:dyDescent="0.25">
      <c r="A639">
        <v>5</v>
      </c>
      <c r="B639">
        <v>420</v>
      </c>
      <c r="C639" t="str">
        <f t="shared" si="173"/>
        <v>51</v>
      </c>
      <c r="D639">
        <v>6319</v>
      </c>
      <c r="E639" t="str">
        <f t="shared" si="172"/>
        <v>00</v>
      </c>
      <c r="F639" t="str">
        <f t="shared" si="174"/>
        <v>999</v>
      </c>
      <c r="G639">
        <v>5</v>
      </c>
      <c r="H639" t="str">
        <f t="shared" si="175"/>
        <v>99</v>
      </c>
      <c r="I639" t="str">
        <f t="shared" si="158"/>
        <v>0</v>
      </c>
      <c r="J639" t="str">
        <f t="shared" si="165"/>
        <v>00</v>
      </c>
      <c r="K639">
        <v>20141125</v>
      </c>
      <c r="L639" t="str">
        <f t="shared" si="169"/>
        <v>014595</v>
      </c>
      <c r="M639" t="str">
        <f t="shared" si="170"/>
        <v>00015</v>
      </c>
      <c r="N639" t="s">
        <v>44</v>
      </c>
      <c r="O639">
        <v>422.56</v>
      </c>
      <c r="Q639" t="s">
        <v>33</v>
      </c>
      <c r="R639" t="s">
        <v>34</v>
      </c>
      <c r="S639" t="s">
        <v>35</v>
      </c>
      <c r="T639" t="s">
        <v>35</v>
      </c>
      <c r="U639" t="s">
        <v>34</v>
      </c>
      <c r="V639" t="str">
        <f>""</f>
        <v/>
      </c>
      <c r="W639">
        <v>20141120</v>
      </c>
      <c r="X639" t="s">
        <v>185</v>
      </c>
      <c r="Y639" t="s">
        <v>537</v>
      </c>
      <c r="Z639" t="s">
        <v>537</v>
      </c>
      <c r="AA639">
        <v>0</v>
      </c>
      <c r="AB639" t="s">
        <v>142</v>
      </c>
      <c r="AC639" t="s">
        <v>143</v>
      </c>
      <c r="AD639" t="s">
        <v>40</v>
      </c>
      <c r="AE639" t="str">
        <f t="shared" si="176"/>
        <v>11</v>
      </c>
      <c r="AF639" t="s">
        <v>40</v>
      </c>
    </row>
    <row r="640" spans="1:32" x14ac:dyDescent="0.25">
      <c r="A640">
        <v>5</v>
      </c>
      <c r="B640">
        <v>420</v>
      </c>
      <c r="C640" t="str">
        <f t="shared" ref="C640:C645" si="177">"00"</f>
        <v>00</v>
      </c>
      <c r="D640">
        <v>2153</v>
      </c>
      <c r="E640" t="str">
        <f t="shared" si="172"/>
        <v>00</v>
      </c>
      <c r="F640" t="str">
        <f>"005"</f>
        <v>005</v>
      </c>
      <c r="G640">
        <v>5</v>
      </c>
      <c r="H640" t="str">
        <f t="shared" ref="H640:H645" si="178">"00"</f>
        <v>00</v>
      </c>
      <c r="I640" t="str">
        <f t="shared" si="158"/>
        <v>0</v>
      </c>
      <c r="J640" t="str">
        <f t="shared" si="165"/>
        <v>00</v>
      </c>
      <c r="K640">
        <v>20141203</v>
      </c>
      <c r="L640" t="str">
        <f>"014596"</f>
        <v>014596</v>
      </c>
      <c r="M640" t="str">
        <f>"00226"</f>
        <v>00226</v>
      </c>
      <c r="N640" t="s">
        <v>286</v>
      </c>
      <c r="O640">
        <v>866.16</v>
      </c>
      <c r="Q640" t="s">
        <v>33</v>
      </c>
      <c r="R640" t="s">
        <v>34</v>
      </c>
      <c r="S640" t="s">
        <v>35</v>
      </c>
      <c r="T640" t="s">
        <v>35</v>
      </c>
      <c r="U640" t="s">
        <v>34</v>
      </c>
      <c r="V640" t="str">
        <f>""</f>
        <v/>
      </c>
      <c r="W640">
        <v>20141203</v>
      </c>
      <c r="X640" t="s">
        <v>287</v>
      </c>
      <c r="Y640" t="s">
        <v>538</v>
      </c>
      <c r="Z640" t="s">
        <v>538</v>
      </c>
      <c r="AA640">
        <v>0</v>
      </c>
      <c r="AB640" t="s">
        <v>142</v>
      </c>
      <c r="AC640" t="s">
        <v>288</v>
      </c>
      <c r="AD640" t="s">
        <v>144</v>
      </c>
      <c r="AE640" t="str">
        <f t="shared" ref="AE640:AE703" si="179">"12"</f>
        <v>12</v>
      </c>
      <c r="AF640" t="s">
        <v>40</v>
      </c>
    </row>
    <row r="641" spans="1:32" x14ac:dyDescent="0.25">
      <c r="A641">
        <v>5</v>
      </c>
      <c r="B641">
        <v>420</v>
      </c>
      <c r="C641" t="str">
        <f t="shared" si="177"/>
        <v>00</v>
      </c>
      <c r="D641">
        <v>2153</v>
      </c>
      <c r="E641" t="str">
        <f t="shared" si="172"/>
        <v>00</v>
      </c>
      <c r="F641" t="str">
        <f>"006"</f>
        <v>006</v>
      </c>
      <c r="G641">
        <v>5</v>
      </c>
      <c r="H641" t="str">
        <f t="shared" si="178"/>
        <v>00</v>
      </c>
      <c r="I641" t="str">
        <f t="shared" si="158"/>
        <v>0</v>
      </c>
      <c r="J641" t="str">
        <f t="shared" si="165"/>
        <v>00</v>
      </c>
      <c r="K641">
        <v>20141203</v>
      </c>
      <c r="L641" t="str">
        <f>"014596"</f>
        <v>014596</v>
      </c>
      <c r="M641" t="str">
        <f>"00226"</f>
        <v>00226</v>
      </c>
      <c r="N641" t="s">
        <v>286</v>
      </c>
      <c r="O641">
        <v>147.19999999999999</v>
      </c>
      <c r="Q641" t="s">
        <v>33</v>
      </c>
      <c r="R641" t="s">
        <v>34</v>
      </c>
      <c r="S641" t="s">
        <v>35</v>
      </c>
      <c r="T641" t="s">
        <v>35</v>
      </c>
      <c r="U641" t="s">
        <v>34</v>
      </c>
      <c r="V641" t="str">
        <f>""</f>
        <v/>
      </c>
      <c r="W641">
        <v>20141203</v>
      </c>
      <c r="X641" t="s">
        <v>289</v>
      </c>
      <c r="Y641" t="s">
        <v>538</v>
      </c>
      <c r="Z641" t="s">
        <v>538</v>
      </c>
      <c r="AA641">
        <v>0</v>
      </c>
      <c r="AB641" t="s">
        <v>142</v>
      </c>
      <c r="AC641" t="s">
        <v>290</v>
      </c>
      <c r="AD641" t="s">
        <v>144</v>
      </c>
      <c r="AE641" t="str">
        <f t="shared" si="179"/>
        <v>12</v>
      </c>
      <c r="AF641" t="s">
        <v>40</v>
      </c>
    </row>
    <row r="642" spans="1:32" x14ac:dyDescent="0.25">
      <c r="A642">
        <v>5</v>
      </c>
      <c r="B642">
        <v>420</v>
      </c>
      <c r="C642" t="str">
        <f t="shared" si="177"/>
        <v>00</v>
      </c>
      <c r="D642">
        <v>2159</v>
      </c>
      <c r="E642" t="str">
        <f t="shared" si="172"/>
        <v>00</v>
      </c>
      <c r="F642" t="str">
        <f>"021"</f>
        <v>021</v>
      </c>
      <c r="G642">
        <v>5</v>
      </c>
      <c r="H642" t="str">
        <f t="shared" si="178"/>
        <v>00</v>
      </c>
      <c r="I642" t="str">
        <f t="shared" ref="I642:I705" si="180">"0"</f>
        <v>0</v>
      </c>
      <c r="J642" t="str">
        <f t="shared" si="165"/>
        <v>00</v>
      </c>
      <c r="K642">
        <v>20141203</v>
      </c>
      <c r="L642" t="str">
        <f>"014597"</f>
        <v>014597</v>
      </c>
      <c r="M642" t="str">
        <f>"00291"</f>
        <v>00291</v>
      </c>
      <c r="N642" t="s">
        <v>291</v>
      </c>
      <c r="O642" s="1">
        <v>1250</v>
      </c>
      <c r="Q642" t="s">
        <v>33</v>
      </c>
      <c r="R642" t="s">
        <v>34</v>
      </c>
      <c r="S642" t="s">
        <v>35</v>
      </c>
      <c r="T642" t="s">
        <v>35</v>
      </c>
      <c r="U642" t="s">
        <v>34</v>
      </c>
      <c r="V642" t="str">
        <f>""</f>
        <v/>
      </c>
      <c r="W642">
        <v>20141203</v>
      </c>
      <c r="X642" t="s">
        <v>292</v>
      </c>
      <c r="Y642" t="s">
        <v>539</v>
      </c>
      <c r="Z642" t="s">
        <v>539</v>
      </c>
      <c r="AA642">
        <v>0</v>
      </c>
      <c r="AB642" t="s">
        <v>142</v>
      </c>
      <c r="AC642" t="s">
        <v>294</v>
      </c>
      <c r="AD642" t="s">
        <v>144</v>
      </c>
      <c r="AE642" t="str">
        <f t="shared" si="179"/>
        <v>12</v>
      </c>
      <c r="AF642" t="s">
        <v>40</v>
      </c>
    </row>
    <row r="643" spans="1:32" x14ac:dyDescent="0.25">
      <c r="A643">
        <v>5</v>
      </c>
      <c r="B643">
        <v>420</v>
      </c>
      <c r="C643" t="str">
        <f t="shared" si="177"/>
        <v>00</v>
      </c>
      <c r="D643">
        <v>2159</v>
      </c>
      <c r="E643" t="str">
        <f t="shared" si="172"/>
        <v>00</v>
      </c>
      <c r="F643" t="str">
        <f>"154"</f>
        <v>154</v>
      </c>
      <c r="G643">
        <v>5</v>
      </c>
      <c r="H643" t="str">
        <f t="shared" si="178"/>
        <v>00</v>
      </c>
      <c r="I643" t="str">
        <f t="shared" si="180"/>
        <v>0</v>
      </c>
      <c r="J643" t="str">
        <f t="shared" si="165"/>
        <v>00</v>
      </c>
      <c r="K643">
        <v>20141203</v>
      </c>
      <c r="L643" t="str">
        <f>"014598"</f>
        <v>014598</v>
      </c>
      <c r="M643" t="str">
        <f>"00684"</f>
        <v>00684</v>
      </c>
      <c r="N643" t="s">
        <v>466</v>
      </c>
      <c r="O643">
        <v>680</v>
      </c>
      <c r="Q643" t="s">
        <v>33</v>
      </c>
      <c r="R643" t="s">
        <v>34</v>
      </c>
      <c r="S643" t="s">
        <v>35</v>
      </c>
      <c r="T643" t="s">
        <v>35</v>
      </c>
      <c r="U643" t="s">
        <v>34</v>
      </c>
      <c r="V643" t="str">
        <f>""</f>
        <v/>
      </c>
      <c r="W643">
        <v>20141203</v>
      </c>
      <c r="X643" t="s">
        <v>467</v>
      </c>
      <c r="Y643" t="s">
        <v>539</v>
      </c>
      <c r="Z643" t="s">
        <v>539</v>
      </c>
      <c r="AA643">
        <v>0</v>
      </c>
      <c r="AB643" t="s">
        <v>142</v>
      </c>
      <c r="AC643" t="s">
        <v>468</v>
      </c>
      <c r="AD643" t="s">
        <v>144</v>
      </c>
      <c r="AE643" t="str">
        <f t="shared" si="179"/>
        <v>12</v>
      </c>
      <c r="AF643" t="s">
        <v>40</v>
      </c>
    </row>
    <row r="644" spans="1:32" x14ac:dyDescent="0.25">
      <c r="A644">
        <v>5</v>
      </c>
      <c r="B644">
        <v>420</v>
      </c>
      <c r="C644" t="str">
        <f t="shared" si="177"/>
        <v>00</v>
      </c>
      <c r="D644">
        <v>2159</v>
      </c>
      <c r="E644" t="str">
        <f t="shared" si="172"/>
        <v>00</v>
      </c>
      <c r="F644" t="str">
        <f>"158"</f>
        <v>158</v>
      </c>
      <c r="G644">
        <v>5</v>
      </c>
      <c r="H644" t="str">
        <f t="shared" si="178"/>
        <v>00</v>
      </c>
      <c r="I644" t="str">
        <f t="shared" si="180"/>
        <v>0</v>
      </c>
      <c r="J644" t="str">
        <f t="shared" si="165"/>
        <v>00</v>
      </c>
      <c r="K644">
        <v>20141203</v>
      </c>
      <c r="L644" t="str">
        <f>"014599"</f>
        <v>014599</v>
      </c>
      <c r="M644" t="str">
        <f>"00773"</f>
        <v>00773</v>
      </c>
      <c r="N644" t="s">
        <v>298</v>
      </c>
      <c r="O644">
        <v>25</v>
      </c>
      <c r="Q644" t="s">
        <v>33</v>
      </c>
      <c r="R644" t="s">
        <v>34</v>
      </c>
      <c r="S644" t="s">
        <v>35</v>
      </c>
      <c r="T644" t="s">
        <v>35</v>
      </c>
      <c r="U644" t="s">
        <v>34</v>
      </c>
      <c r="V644" t="str">
        <f>""</f>
        <v/>
      </c>
      <c r="W644">
        <v>20141203</v>
      </c>
      <c r="X644" t="s">
        <v>299</v>
      </c>
      <c r="Y644" t="s">
        <v>539</v>
      </c>
      <c r="Z644" t="s">
        <v>539</v>
      </c>
      <c r="AA644">
        <v>0</v>
      </c>
      <c r="AB644" t="s">
        <v>142</v>
      </c>
      <c r="AC644" t="s">
        <v>298</v>
      </c>
      <c r="AD644" t="s">
        <v>144</v>
      </c>
      <c r="AE644" t="str">
        <f t="shared" si="179"/>
        <v>12</v>
      </c>
      <c r="AF644" t="s">
        <v>40</v>
      </c>
    </row>
    <row r="645" spans="1:32" x14ac:dyDescent="0.25">
      <c r="A645">
        <v>5</v>
      </c>
      <c r="B645">
        <v>420</v>
      </c>
      <c r="C645" t="str">
        <f t="shared" si="177"/>
        <v>00</v>
      </c>
      <c r="D645">
        <v>2159</v>
      </c>
      <c r="E645" t="str">
        <f t="shared" si="172"/>
        <v>00</v>
      </c>
      <c r="F645" t="str">
        <f>"164"</f>
        <v>164</v>
      </c>
      <c r="G645">
        <v>5</v>
      </c>
      <c r="H645" t="str">
        <f t="shared" si="178"/>
        <v>00</v>
      </c>
      <c r="I645" t="str">
        <f t="shared" si="180"/>
        <v>0</v>
      </c>
      <c r="J645" t="str">
        <f t="shared" si="165"/>
        <v>00</v>
      </c>
      <c r="K645">
        <v>20141203</v>
      </c>
      <c r="L645" t="str">
        <f>"014600"</f>
        <v>014600</v>
      </c>
      <c r="M645" t="str">
        <f>"00787"</f>
        <v>00787</v>
      </c>
      <c r="N645" t="s">
        <v>469</v>
      </c>
      <c r="O645">
        <v>225</v>
      </c>
      <c r="Q645" t="s">
        <v>33</v>
      </c>
      <c r="R645" t="s">
        <v>34</v>
      </c>
      <c r="S645" t="s">
        <v>35</v>
      </c>
      <c r="T645" t="s">
        <v>35</v>
      </c>
      <c r="U645" t="s">
        <v>34</v>
      </c>
      <c r="V645" t="str">
        <f>""</f>
        <v/>
      </c>
      <c r="W645">
        <v>20141203</v>
      </c>
      <c r="X645" t="s">
        <v>470</v>
      </c>
      <c r="Y645" t="s">
        <v>540</v>
      </c>
      <c r="Z645" t="s">
        <v>540</v>
      </c>
      <c r="AA645">
        <v>0</v>
      </c>
      <c r="AB645" t="s">
        <v>142</v>
      </c>
      <c r="AC645" t="s">
        <v>472</v>
      </c>
      <c r="AD645" t="s">
        <v>144</v>
      </c>
      <c r="AE645" t="str">
        <f t="shared" si="179"/>
        <v>12</v>
      </c>
      <c r="AF645" t="s">
        <v>40</v>
      </c>
    </row>
    <row r="646" spans="1:32" x14ac:dyDescent="0.25">
      <c r="A646">
        <v>5</v>
      </c>
      <c r="B646">
        <v>420</v>
      </c>
      <c r="C646" t="str">
        <f>"51"</f>
        <v>51</v>
      </c>
      <c r="D646">
        <v>6319</v>
      </c>
      <c r="E646" t="str">
        <f t="shared" si="172"/>
        <v>00</v>
      </c>
      <c r="F646" t="str">
        <f t="shared" ref="F646:F653" si="181">"999"</f>
        <v>999</v>
      </c>
      <c r="G646">
        <v>5</v>
      </c>
      <c r="H646" t="str">
        <f t="shared" ref="H646:H651" si="182">"99"</f>
        <v>99</v>
      </c>
      <c r="I646" t="str">
        <f t="shared" si="180"/>
        <v>0</v>
      </c>
      <c r="J646" t="str">
        <f t="shared" si="165"/>
        <v>00</v>
      </c>
      <c r="K646">
        <v>20141204</v>
      </c>
      <c r="L646" t="str">
        <f>"014601"</f>
        <v>014601</v>
      </c>
      <c r="M646" t="str">
        <f>"00599"</f>
        <v>00599</v>
      </c>
      <c r="N646" t="s">
        <v>334</v>
      </c>
      <c r="O646">
        <v>145</v>
      </c>
      <c r="Q646" t="s">
        <v>33</v>
      </c>
      <c r="R646" t="s">
        <v>34</v>
      </c>
      <c r="S646" t="s">
        <v>35</v>
      </c>
      <c r="T646" t="s">
        <v>35</v>
      </c>
      <c r="U646" t="s">
        <v>34</v>
      </c>
      <c r="V646" t="str">
        <f>""</f>
        <v/>
      </c>
      <c r="W646">
        <v>20141204</v>
      </c>
      <c r="X646" t="s">
        <v>185</v>
      </c>
      <c r="Y646" t="s">
        <v>541</v>
      </c>
      <c r="Z646" t="s">
        <v>541</v>
      </c>
      <c r="AA646">
        <v>0</v>
      </c>
      <c r="AB646" t="s">
        <v>142</v>
      </c>
      <c r="AC646" t="s">
        <v>143</v>
      </c>
      <c r="AD646" t="s">
        <v>40</v>
      </c>
      <c r="AE646" t="str">
        <f t="shared" si="179"/>
        <v>12</v>
      </c>
      <c r="AF646" t="s">
        <v>40</v>
      </c>
    </row>
    <row r="647" spans="1:32" x14ac:dyDescent="0.25">
      <c r="A647">
        <v>5</v>
      </c>
      <c r="B647">
        <v>420</v>
      </c>
      <c r="C647" t="str">
        <f>"51"</f>
        <v>51</v>
      </c>
      <c r="D647">
        <v>6259</v>
      </c>
      <c r="E647" t="str">
        <f>"54"</f>
        <v>54</v>
      </c>
      <c r="F647" t="str">
        <f t="shared" si="181"/>
        <v>999</v>
      </c>
      <c r="G647">
        <v>5</v>
      </c>
      <c r="H647" t="str">
        <f t="shared" si="182"/>
        <v>99</v>
      </c>
      <c r="I647" t="str">
        <f t="shared" si="180"/>
        <v>0</v>
      </c>
      <c r="J647" t="str">
        <f t="shared" si="165"/>
        <v>00</v>
      </c>
      <c r="K647">
        <v>20141204</v>
      </c>
      <c r="L647" t="str">
        <f>"014602"</f>
        <v>014602</v>
      </c>
      <c r="M647" t="str">
        <f>"00030"</f>
        <v>00030</v>
      </c>
      <c r="N647" t="s">
        <v>215</v>
      </c>
      <c r="O647">
        <v>277.52</v>
      </c>
      <c r="Q647" t="s">
        <v>33</v>
      </c>
      <c r="R647" t="s">
        <v>34</v>
      </c>
      <c r="S647" t="s">
        <v>35</v>
      </c>
      <c r="T647" t="s">
        <v>35</v>
      </c>
      <c r="U647" t="s">
        <v>34</v>
      </c>
      <c r="V647" t="str">
        <f>""</f>
        <v/>
      </c>
      <c r="W647">
        <v>20141204</v>
      </c>
      <c r="X647" t="s">
        <v>216</v>
      </c>
      <c r="Y647" t="s">
        <v>542</v>
      </c>
      <c r="Z647" t="s">
        <v>542</v>
      </c>
      <c r="AA647">
        <v>0</v>
      </c>
      <c r="AB647" t="s">
        <v>142</v>
      </c>
      <c r="AC647" t="s">
        <v>143</v>
      </c>
      <c r="AD647" t="s">
        <v>40</v>
      </c>
      <c r="AE647" t="str">
        <f t="shared" si="179"/>
        <v>12</v>
      </c>
      <c r="AF647" t="s">
        <v>40</v>
      </c>
    </row>
    <row r="648" spans="1:32" x14ac:dyDescent="0.25">
      <c r="A648">
        <v>5</v>
      </c>
      <c r="B648">
        <v>420</v>
      </c>
      <c r="C648" t="str">
        <f>"51"</f>
        <v>51</v>
      </c>
      <c r="D648">
        <v>6269</v>
      </c>
      <c r="E648" t="str">
        <f t="shared" ref="E648:E656" si="183">"00"</f>
        <v>00</v>
      </c>
      <c r="F648" t="str">
        <f t="shared" si="181"/>
        <v>999</v>
      </c>
      <c r="G648">
        <v>5</v>
      </c>
      <c r="H648" t="str">
        <f t="shared" si="182"/>
        <v>99</v>
      </c>
      <c r="I648" t="str">
        <f t="shared" si="180"/>
        <v>0</v>
      </c>
      <c r="J648" t="str">
        <f t="shared" si="165"/>
        <v>00</v>
      </c>
      <c r="K648">
        <v>20141204</v>
      </c>
      <c r="L648" t="str">
        <f>"014603"</f>
        <v>014603</v>
      </c>
      <c r="M648" t="str">
        <f>"00035"</f>
        <v>00035</v>
      </c>
      <c r="N648" t="s">
        <v>307</v>
      </c>
      <c r="O648">
        <v>301.52</v>
      </c>
      <c r="Q648" t="s">
        <v>33</v>
      </c>
      <c r="R648" t="s">
        <v>34</v>
      </c>
      <c r="S648" t="s">
        <v>35</v>
      </c>
      <c r="T648" t="s">
        <v>35</v>
      </c>
      <c r="U648" t="s">
        <v>34</v>
      </c>
      <c r="V648" t="str">
        <f>""</f>
        <v/>
      </c>
      <c r="W648">
        <v>20141203</v>
      </c>
      <c r="X648" t="s">
        <v>225</v>
      </c>
      <c r="Y648" t="s">
        <v>543</v>
      </c>
      <c r="Z648" t="s">
        <v>543</v>
      </c>
      <c r="AA648">
        <v>0</v>
      </c>
      <c r="AB648" t="s">
        <v>142</v>
      </c>
      <c r="AC648" t="s">
        <v>143</v>
      </c>
      <c r="AD648" t="s">
        <v>40</v>
      </c>
      <c r="AE648" t="str">
        <f t="shared" si="179"/>
        <v>12</v>
      </c>
      <c r="AF648" t="s">
        <v>40</v>
      </c>
    </row>
    <row r="649" spans="1:32" x14ac:dyDescent="0.25">
      <c r="A649">
        <v>5</v>
      </c>
      <c r="B649">
        <v>240</v>
      </c>
      <c r="C649" t="str">
        <f>"35"</f>
        <v>35</v>
      </c>
      <c r="D649">
        <v>6341</v>
      </c>
      <c r="E649" t="str">
        <f t="shared" si="183"/>
        <v>00</v>
      </c>
      <c r="F649" t="str">
        <f t="shared" si="181"/>
        <v>999</v>
      </c>
      <c r="G649">
        <v>5</v>
      </c>
      <c r="H649" t="str">
        <f t="shared" si="182"/>
        <v>99</v>
      </c>
      <c r="I649" t="str">
        <f t="shared" si="180"/>
        <v>0</v>
      </c>
      <c r="J649" t="str">
        <f t="shared" si="165"/>
        <v>00</v>
      </c>
      <c r="K649">
        <v>20141204</v>
      </c>
      <c r="L649" t="str">
        <f>"014604"</f>
        <v>014604</v>
      </c>
      <c r="M649" t="str">
        <f>"00048"</f>
        <v>00048</v>
      </c>
      <c r="N649" t="s">
        <v>309</v>
      </c>
      <c r="O649">
        <v>8.91</v>
      </c>
      <c r="Q649" t="s">
        <v>33</v>
      </c>
      <c r="R649" t="s">
        <v>34</v>
      </c>
      <c r="S649" t="s">
        <v>35</v>
      </c>
      <c r="T649" t="s">
        <v>35</v>
      </c>
      <c r="U649" t="s">
        <v>34</v>
      </c>
      <c r="V649" t="str">
        <f>""</f>
        <v/>
      </c>
      <c r="W649">
        <v>20141203</v>
      </c>
      <c r="X649" t="s">
        <v>268</v>
      </c>
      <c r="Y649" t="s">
        <v>544</v>
      </c>
      <c r="Z649" t="s">
        <v>544</v>
      </c>
      <c r="AA649">
        <v>0</v>
      </c>
      <c r="AB649" t="s">
        <v>238</v>
      </c>
      <c r="AC649" t="s">
        <v>143</v>
      </c>
      <c r="AD649" t="s">
        <v>40</v>
      </c>
      <c r="AE649" t="str">
        <f t="shared" si="179"/>
        <v>12</v>
      </c>
      <c r="AF649" t="s">
        <v>40</v>
      </c>
    </row>
    <row r="650" spans="1:32" x14ac:dyDescent="0.25">
      <c r="A650">
        <v>5</v>
      </c>
      <c r="B650">
        <v>240</v>
      </c>
      <c r="C650" t="str">
        <f>"35"</f>
        <v>35</v>
      </c>
      <c r="D650">
        <v>6341</v>
      </c>
      <c r="E650" t="str">
        <f t="shared" si="183"/>
        <v>00</v>
      </c>
      <c r="F650" t="str">
        <f t="shared" si="181"/>
        <v>999</v>
      </c>
      <c r="G650">
        <v>5</v>
      </c>
      <c r="H650" t="str">
        <f t="shared" si="182"/>
        <v>99</v>
      </c>
      <c r="I650" t="str">
        <f t="shared" si="180"/>
        <v>0</v>
      </c>
      <c r="J650" t="str">
        <f t="shared" si="165"/>
        <v>00</v>
      </c>
      <c r="K650">
        <v>20141204</v>
      </c>
      <c r="L650" t="str">
        <f>"014604"</f>
        <v>014604</v>
      </c>
      <c r="M650" t="str">
        <f>"00048"</f>
        <v>00048</v>
      </c>
      <c r="N650" t="s">
        <v>309</v>
      </c>
      <c r="O650">
        <v>120.51</v>
      </c>
      <c r="Q650" t="s">
        <v>33</v>
      </c>
      <c r="R650" t="s">
        <v>34</v>
      </c>
      <c r="S650" t="s">
        <v>35</v>
      </c>
      <c r="T650" t="s">
        <v>35</v>
      </c>
      <c r="U650" t="s">
        <v>34</v>
      </c>
      <c r="V650" t="str">
        <f>""</f>
        <v/>
      </c>
      <c r="W650">
        <v>20141203</v>
      </c>
      <c r="X650" t="s">
        <v>268</v>
      </c>
      <c r="Y650" t="s">
        <v>544</v>
      </c>
      <c r="Z650" t="s">
        <v>544</v>
      </c>
      <c r="AA650">
        <v>0</v>
      </c>
      <c r="AB650" t="s">
        <v>238</v>
      </c>
      <c r="AC650" t="s">
        <v>143</v>
      </c>
      <c r="AD650" t="s">
        <v>40</v>
      </c>
      <c r="AE650" t="str">
        <f t="shared" si="179"/>
        <v>12</v>
      </c>
      <c r="AF650" t="s">
        <v>40</v>
      </c>
    </row>
    <row r="651" spans="1:32" x14ac:dyDescent="0.25">
      <c r="A651">
        <v>5</v>
      </c>
      <c r="B651">
        <v>240</v>
      </c>
      <c r="C651" t="str">
        <f>"35"</f>
        <v>35</v>
      </c>
      <c r="D651">
        <v>6341</v>
      </c>
      <c r="E651" t="str">
        <f t="shared" si="183"/>
        <v>00</v>
      </c>
      <c r="F651" t="str">
        <f t="shared" si="181"/>
        <v>999</v>
      </c>
      <c r="G651">
        <v>5</v>
      </c>
      <c r="H651" t="str">
        <f t="shared" si="182"/>
        <v>99</v>
      </c>
      <c r="I651" t="str">
        <f t="shared" si="180"/>
        <v>0</v>
      </c>
      <c r="J651" t="str">
        <f t="shared" si="165"/>
        <v>00</v>
      </c>
      <c r="K651">
        <v>20141204</v>
      </c>
      <c r="L651" t="str">
        <f>"014604"</f>
        <v>014604</v>
      </c>
      <c r="M651" t="str">
        <f>"00048"</f>
        <v>00048</v>
      </c>
      <c r="N651" t="s">
        <v>309</v>
      </c>
      <c r="O651">
        <v>74.16</v>
      </c>
      <c r="Q651" t="s">
        <v>33</v>
      </c>
      <c r="R651" t="s">
        <v>34</v>
      </c>
      <c r="S651" t="s">
        <v>35</v>
      </c>
      <c r="T651" t="s">
        <v>35</v>
      </c>
      <c r="U651" t="s">
        <v>34</v>
      </c>
      <c r="V651" t="str">
        <f>""</f>
        <v/>
      </c>
      <c r="W651">
        <v>20141203</v>
      </c>
      <c r="X651" t="s">
        <v>268</v>
      </c>
      <c r="Y651" t="s">
        <v>544</v>
      </c>
      <c r="Z651" t="s">
        <v>544</v>
      </c>
      <c r="AA651">
        <v>0</v>
      </c>
      <c r="AB651" t="s">
        <v>238</v>
      </c>
      <c r="AC651" t="s">
        <v>143</v>
      </c>
      <c r="AD651" t="s">
        <v>40</v>
      </c>
      <c r="AE651" t="str">
        <f t="shared" si="179"/>
        <v>12</v>
      </c>
      <c r="AF651" t="s">
        <v>40</v>
      </c>
    </row>
    <row r="652" spans="1:32" x14ac:dyDescent="0.25">
      <c r="A652">
        <v>5</v>
      </c>
      <c r="B652">
        <v>420</v>
      </c>
      <c r="C652" t="str">
        <f>"11"</f>
        <v>11</v>
      </c>
      <c r="D652">
        <v>6219</v>
      </c>
      <c r="E652" t="str">
        <f t="shared" si="183"/>
        <v>00</v>
      </c>
      <c r="F652" t="str">
        <f t="shared" si="181"/>
        <v>999</v>
      </c>
      <c r="G652">
        <v>5</v>
      </c>
      <c r="H652" t="str">
        <f>"11"</f>
        <v>11</v>
      </c>
      <c r="I652" t="str">
        <f t="shared" si="180"/>
        <v>0</v>
      </c>
      <c r="J652" t="str">
        <f t="shared" si="165"/>
        <v>00</v>
      </c>
      <c r="K652">
        <v>20141204</v>
      </c>
      <c r="L652" t="str">
        <f>"014605"</f>
        <v>014605</v>
      </c>
      <c r="M652" t="str">
        <f>"00734"</f>
        <v>00734</v>
      </c>
      <c r="N652" t="s">
        <v>220</v>
      </c>
      <c r="O652">
        <v>550</v>
      </c>
      <c r="Q652" t="s">
        <v>33</v>
      </c>
      <c r="R652" t="s">
        <v>34</v>
      </c>
      <c r="S652" t="s">
        <v>35</v>
      </c>
      <c r="T652" t="s">
        <v>35</v>
      </c>
      <c r="U652" t="s">
        <v>34</v>
      </c>
      <c r="V652" t="str">
        <f>""</f>
        <v/>
      </c>
      <c r="W652">
        <v>20141204</v>
      </c>
      <c r="X652" t="s">
        <v>166</v>
      </c>
      <c r="Y652" t="s">
        <v>141</v>
      </c>
      <c r="Z652" t="s">
        <v>141</v>
      </c>
      <c r="AA652">
        <v>0</v>
      </c>
      <c r="AB652" t="s">
        <v>142</v>
      </c>
      <c r="AC652" t="s">
        <v>143</v>
      </c>
      <c r="AD652" t="s">
        <v>40</v>
      </c>
      <c r="AE652" t="str">
        <f t="shared" si="179"/>
        <v>12</v>
      </c>
      <c r="AF652" t="s">
        <v>40</v>
      </c>
    </row>
    <row r="653" spans="1:32" x14ac:dyDescent="0.25">
      <c r="A653">
        <v>5</v>
      </c>
      <c r="B653">
        <v>240</v>
      </c>
      <c r="C653" t="str">
        <f>"35"</f>
        <v>35</v>
      </c>
      <c r="D653">
        <v>6349</v>
      </c>
      <c r="E653" t="str">
        <f t="shared" si="183"/>
        <v>00</v>
      </c>
      <c r="F653" t="str">
        <f t="shared" si="181"/>
        <v>999</v>
      </c>
      <c r="G653">
        <v>5</v>
      </c>
      <c r="H653" t="str">
        <f>"99"</f>
        <v>99</v>
      </c>
      <c r="I653" t="str">
        <f t="shared" si="180"/>
        <v>0</v>
      </c>
      <c r="J653" t="str">
        <f t="shared" si="165"/>
        <v>00</v>
      </c>
      <c r="K653">
        <v>20141204</v>
      </c>
      <c r="L653" t="str">
        <f>"014606"</f>
        <v>014606</v>
      </c>
      <c r="M653" t="str">
        <f>"00401"</f>
        <v>00401</v>
      </c>
      <c r="N653" t="s">
        <v>545</v>
      </c>
      <c r="O653">
        <v>372</v>
      </c>
      <c r="Q653" t="s">
        <v>33</v>
      </c>
      <c r="R653" t="s">
        <v>34</v>
      </c>
      <c r="S653" t="s">
        <v>35</v>
      </c>
      <c r="T653" t="s">
        <v>35</v>
      </c>
      <c r="U653" t="s">
        <v>34</v>
      </c>
      <c r="V653" t="str">
        <f>""</f>
        <v/>
      </c>
      <c r="W653">
        <v>20141204</v>
      </c>
      <c r="X653" t="s">
        <v>236</v>
      </c>
      <c r="Y653" t="s">
        <v>333</v>
      </c>
      <c r="Z653" t="s">
        <v>333</v>
      </c>
      <c r="AA653">
        <v>0</v>
      </c>
      <c r="AB653" t="s">
        <v>238</v>
      </c>
      <c r="AC653" t="s">
        <v>143</v>
      </c>
      <c r="AD653" t="s">
        <v>40</v>
      </c>
      <c r="AE653" t="str">
        <f t="shared" si="179"/>
        <v>12</v>
      </c>
      <c r="AF653" t="s">
        <v>40</v>
      </c>
    </row>
    <row r="654" spans="1:32" x14ac:dyDescent="0.25">
      <c r="A654">
        <v>5</v>
      </c>
      <c r="B654">
        <v>211</v>
      </c>
      <c r="C654" t="str">
        <f>"11"</f>
        <v>11</v>
      </c>
      <c r="D654">
        <v>6399</v>
      </c>
      <c r="E654" t="str">
        <f t="shared" si="183"/>
        <v>00</v>
      </c>
      <c r="F654" t="str">
        <f>"101"</f>
        <v>101</v>
      </c>
      <c r="G654">
        <v>5</v>
      </c>
      <c r="H654" t="str">
        <f>"30"</f>
        <v>30</v>
      </c>
      <c r="I654" t="str">
        <f t="shared" si="180"/>
        <v>0</v>
      </c>
      <c r="J654" t="str">
        <f t="shared" si="165"/>
        <v>00</v>
      </c>
      <c r="K654">
        <v>20141204</v>
      </c>
      <c r="L654" t="str">
        <f>"014607"</f>
        <v>014607</v>
      </c>
      <c r="M654" t="str">
        <f>"00121"</f>
        <v>00121</v>
      </c>
      <c r="N654" t="s">
        <v>546</v>
      </c>
      <c r="O654">
        <v>744.8</v>
      </c>
      <c r="Q654" t="s">
        <v>33</v>
      </c>
      <c r="R654" t="s">
        <v>34</v>
      </c>
      <c r="S654" t="s">
        <v>35</v>
      </c>
      <c r="T654" t="s">
        <v>35</v>
      </c>
      <c r="U654" t="s">
        <v>34</v>
      </c>
      <c r="V654" t="str">
        <f>""</f>
        <v/>
      </c>
      <c r="W654">
        <v>20141204</v>
      </c>
      <c r="X654" t="s">
        <v>422</v>
      </c>
      <c r="Y654" t="s">
        <v>547</v>
      </c>
      <c r="Z654" t="s">
        <v>547</v>
      </c>
      <c r="AA654">
        <v>0</v>
      </c>
      <c r="AB654" t="s">
        <v>174</v>
      </c>
      <c r="AC654" t="s">
        <v>41</v>
      </c>
      <c r="AD654" t="s">
        <v>40</v>
      </c>
      <c r="AE654" t="str">
        <f t="shared" si="179"/>
        <v>12</v>
      </c>
      <c r="AF654" t="s">
        <v>40</v>
      </c>
    </row>
    <row r="655" spans="1:32" x14ac:dyDescent="0.25">
      <c r="A655">
        <v>5</v>
      </c>
      <c r="B655">
        <v>420</v>
      </c>
      <c r="C655" t="str">
        <f>"61"</f>
        <v>61</v>
      </c>
      <c r="D655">
        <v>6219</v>
      </c>
      <c r="E655" t="str">
        <f t="shared" si="183"/>
        <v>00</v>
      </c>
      <c r="F655" t="str">
        <f t="shared" ref="F655:F671" si="184">"999"</f>
        <v>999</v>
      </c>
      <c r="G655">
        <v>5</v>
      </c>
      <c r="H655" t="str">
        <f>"11"</f>
        <v>11</v>
      </c>
      <c r="I655" t="str">
        <f t="shared" si="180"/>
        <v>0</v>
      </c>
      <c r="J655" t="str">
        <f t="shared" si="165"/>
        <v>00</v>
      </c>
      <c r="K655">
        <v>20141204</v>
      </c>
      <c r="L655" t="str">
        <f>"014608"</f>
        <v>014608</v>
      </c>
      <c r="M655" t="str">
        <f>"00566"</f>
        <v>00566</v>
      </c>
      <c r="N655" t="s">
        <v>221</v>
      </c>
      <c r="O655">
        <v>67</v>
      </c>
      <c r="Q655" t="s">
        <v>33</v>
      </c>
      <c r="R655" t="s">
        <v>34</v>
      </c>
      <c r="S655" t="s">
        <v>35</v>
      </c>
      <c r="T655" t="s">
        <v>35</v>
      </c>
      <c r="U655" t="s">
        <v>34</v>
      </c>
      <c r="V655" t="str">
        <f>""</f>
        <v/>
      </c>
      <c r="W655">
        <v>20141203</v>
      </c>
      <c r="X655" t="s">
        <v>222</v>
      </c>
      <c r="Y655" t="s">
        <v>548</v>
      </c>
      <c r="Z655" t="s">
        <v>548</v>
      </c>
      <c r="AA655">
        <v>0</v>
      </c>
      <c r="AB655" t="s">
        <v>142</v>
      </c>
      <c r="AC655" t="s">
        <v>143</v>
      </c>
      <c r="AD655" t="s">
        <v>40</v>
      </c>
      <c r="AE655" t="str">
        <f t="shared" si="179"/>
        <v>12</v>
      </c>
      <c r="AF655" t="s">
        <v>40</v>
      </c>
    </row>
    <row r="656" spans="1:32" x14ac:dyDescent="0.25">
      <c r="A656">
        <v>5</v>
      </c>
      <c r="B656">
        <v>420</v>
      </c>
      <c r="C656" t="str">
        <f>"11"</f>
        <v>11</v>
      </c>
      <c r="D656">
        <v>6269</v>
      </c>
      <c r="E656" t="str">
        <f t="shared" si="183"/>
        <v>00</v>
      </c>
      <c r="F656" t="str">
        <f t="shared" si="184"/>
        <v>999</v>
      </c>
      <c r="G656">
        <v>5</v>
      </c>
      <c r="H656" t="str">
        <f>"11"</f>
        <v>11</v>
      </c>
      <c r="I656" t="str">
        <f t="shared" si="180"/>
        <v>0</v>
      </c>
      <c r="J656" t="str">
        <f t="shared" si="165"/>
        <v>00</v>
      </c>
      <c r="K656">
        <v>20141204</v>
      </c>
      <c r="L656" t="str">
        <f>"014609"</f>
        <v>014609</v>
      </c>
      <c r="M656" t="str">
        <f>"00622"</f>
        <v>00622</v>
      </c>
      <c r="N656" t="s">
        <v>318</v>
      </c>
      <c r="O656">
        <v>204.4</v>
      </c>
      <c r="Q656" t="s">
        <v>33</v>
      </c>
      <c r="R656" t="s">
        <v>34</v>
      </c>
      <c r="S656" t="s">
        <v>35</v>
      </c>
      <c r="T656" t="s">
        <v>35</v>
      </c>
      <c r="U656" t="s">
        <v>34</v>
      </c>
      <c r="V656" t="str">
        <f>""</f>
        <v/>
      </c>
      <c r="W656">
        <v>20141203</v>
      </c>
      <c r="X656" t="s">
        <v>213</v>
      </c>
      <c r="Y656" t="s">
        <v>549</v>
      </c>
      <c r="Z656" t="s">
        <v>549</v>
      </c>
      <c r="AA656">
        <v>0</v>
      </c>
      <c r="AB656" t="s">
        <v>142</v>
      </c>
      <c r="AC656" t="s">
        <v>143</v>
      </c>
      <c r="AD656" t="s">
        <v>40</v>
      </c>
      <c r="AE656" t="str">
        <f t="shared" si="179"/>
        <v>12</v>
      </c>
      <c r="AF656" t="s">
        <v>40</v>
      </c>
    </row>
    <row r="657" spans="1:32" x14ac:dyDescent="0.25">
      <c r="A657">
        <v>5</v>
      </c>
      <c r="B657">
        <v>420</v>
      </c>
      <c r="C657" t="str">
        <f>"51"</f>
        <v>51</v>
      </c>
      <c r="D657">
        <v>6259</v>
      </c>
      <c r="E657" t="str">
        <f>"53"</f>
        <v>53</v>
      </c>
      <c r="F657" t="str">
        <f t="shared" si="184"/>
        <v>999</v>
      </c>
      <c r="G657">
        <v>5</v>
      </c>
      <c r="H657" t="str">
        <f>"99"</f>
        <v>99</v>
      </c>
      <c r="I657" t="str">
        <f t="shared" si="180"/>
        <v>0</v>
      </c>
      <c r="J657" t="str">
        <f t="shared" si="165"/>
        <v>00</v>
      </c>
      <c r="K657">
        <v>20141204</v>
      </c>
      <c r="L657" t="str">
        <f>"014610"</f>
        <v>014610</v>
      </c>
      <c r="M657" t="str">
        <f>"00726"</f>
        <v>00726</v>
      </c>
      <c r="N657" t="s">
        <v>227</v>
      </c>
      <c r="O657" s="1">
        <v>2228.41</v>
      </c>
      <c r="Q657" t="s">
        <v>33</v>
      </c>
      <c r="R657" t="s">
        <v>34</v>
      </c>
      <c r="S657" t="s">
        <v>35</v>
      </c>
      <c r="T657" t="s">
        <v>35</v>
      </c>
      <c r="U657" t="s">
        <v>34</v>
      </c>
      <c r="V657" t="str">
        <f>""</f>
        <v/>
      </c>
      <c r="W657">
        <v>20141203</v>
      </c>
      <c r="X657" t="s">
        <v>228</v>
      </c>
      <c r="Y657" t="s">
        <v>550</v>
      </c>
      <c r="Z657" t="s">
        <v>550</v>
      </c>
      <c r="AA657">
        <v>0</v>
      </c>
      <c r="AB657" t="s">
        <v>142</v>
      </c>
      <c r="AC657" t="s">
        <v>143</v>
      </c>
      <c r="AD657" t="s">
        <v>40</v>
      </c>
      <c r="AE657" t="str">
        <f t="shared" si="179"/>
        <v>12</v>
      </c>
      <c r="AF657" t="s">
        <v>40</v>
      </c>
    </row>
    <row r="658" spans="1:32" x14ac:dyDescent="0.25">
      <c r="A658">
        <v>5</v>
      </c>
      <c r="B658">
        <v>420</v>
      </c>
      <c r="C658" t="str">
        <f>"51"</f>
        <v>51</v>
      </c>
      <c r="D658">
        <v>6259</v>
      </c>
      <c r="E658" t="str">
        <f>"53"</f>
        <v>53</v>
      </c>
      <c r="F658" t="str">
        <f t="shared" si="184"/>
        <v>999</v>
      </c>
      <c r="G658">
        <v>5</v>
      </c>
      <c r="H658" t="str">
        <f>"99"</f>
        <v>99</v>
      </c>
      <c r="I658" t="str">
        <f t="shared" si="180"/>
        <v>0</v>
      </c>
      <c r="J658" t="str">
        <f t="shared" si="165"/>
        <v>00</v>
      </c>
      <c r="K658">
        <v>20141204</v>
      </c>
      <c r="L658" t="str">
        <f>"014610"</f>
        <v>014610</v>
      </c>
      <c r="M658" t="str">
        <f>"00726"</f>
        <v>00726</v>
      </c>
      <c r="N658" t="s">
        <v>227</v>
      </c>
      <c r="O658" s="1">
        <v>4474.3999999999996</v>
      </c>
      <c r="Q658" t="s">
        <v>33</v>
      </c>
      <c r="R658" t="s">
        <v>34</v>
      </c>
      <c r="S658" t="s">
        <v>35</v>
      </c>
      <c r="T658" t="s">
        <v>35</v>
      </c>
      <c r="U658" t="s">
        <v>34</v>
      </c>
      <c r="V658" t="str">
        <f>""</f>
        <v/>
      </c>
      <c r="W658">
        <v>20141203</v>
      </c>
      <c r="X658" t="s">
        <v>228</v>
      </c>
      <c r="Y658" t="s">
        <v>550</v>
      </c>
      <c r="Z658" t="s">
        <v>550</v>
      </c>
      <c r="AA658">
        <v>0</v>
      </c>
      <c r="AB658" t="s">
        <v>142</v>
      </c>
      <c r="AC658" t="s">
        <v>143</v>
      </c>
      <c r="AD658" t="s">
        <v>40</v>
      </c>
      <c r="AE658" t="str">
        <f t="shared" si="179"/>
        <v>12</v>
      </c>
      <c r="AF658" t="s">
        <v>40</v>
      </c>
    </row>
    <row r="659" spans="1:32" x14ac:dyDescent="0.25">
      <c r="A659">
        <v>5</v>
      </c>
      <c r="B659">
        <v>420</v>
      </c>
      <c r="C659" t="str">
        <f>"51"</f>
        <v>51</v>
      </c>
      <c r="D659">
        <v>6259</v>
      </c>
      <c r="E659" t="str">
        <f>"53"</f>
        <v>53</v>
      </c>
      <c r="F659" t="str">
        <f t="shared" si="184"/>
        <v>999</v>
      </c>
      <c r="G659">
        <v>5</v>
      </c>
      <c r="H659" t="str">
        <f>"99"</f>
        <v>99</v>
      </c>
      <c r="I659" t="str">
        <f t="shared" si="180"/>
        <v>0</v>
      </c>
      <c r="J659" t="str">
        <f t="shared" si="165"/>
        <v>00</v>
      </c>
      <c r="K659">
        <v>20141204</v>
      </c>
      <c r="L659" t="str">
        <f>"014610"</f>
        <v>014610</v>
      </c>
      <c r="M659" t="str">
        <f>"00726"</f>
        <v>00726</v>
      </c>
      <c r="N659" t="s">
        <v>227</v>
      </c>
      <c r="O659" s="1">
        <v>1082.8800000000001</v>
      </c>
      <c r="Q659" t="s">
        <v>33</v>
      </c>
      <c r="R659" t="s">
        <v>34</v>
      </c>
      <c r="S659" t="s">
        <v>35</v>
      </c>
      <c r="T659" t="s">
        <v>35</v>
      </c>
      <c r="U659" t="s">
        <v>34</v>
      </c>
      <c r="V659" t="str">
        <f>""</f>
        <v/>
      </c>
      <c r="W659">
        <v>20141203</v>
      </c>
      <c r="X659" t="s">
        <v>228</v>
      </c>
      <c r="Y659" t="s">
        <v>550</v>
      </c>
      <c r="Z659" t="s">
        <v>550</v>
      </c>
      <c r="AA659">
        <v>0</v>
      </c>
      <c r="AB659" t="s">
        <v>142</v>
      </c>
      <c r="AC659" t="s">
        <v>143</v>
      </c>
      <c r="AD659" t="s">
        <v>40</v>
      </c>
      <c r="AE659" t="str">
        <f t="shared" si="179"/>
        <v>12</v>
      </c>
      <c r="AF659" t="s">
        <v>40</v>
      </c>
    </row>
    <row r="660" spans="1:32" x14ac:dyDescent="0.25">
      <c r="A660">
        <v>5</v>
      </c>
      <c r="B660">
        <v>420</v>
      </c>
      <c r="C660" t="str">
        <f>"51"</f>
        <v>51</v>
      </c>
      <c r="D660">
        <v>6259</v>
      </c>
      <c r="E660" t="str">
        <f>"53"</f>
        <v>53</v>
      </c>
      <c r="F660" t="str">
        <f t="shared" si="184"/>
        <v>999</v>
      </c>
      <c r="G660">
        <v>5</v>
      </c>
      <c r="H660" t="str">
        <f>"99"</f>
        <v>99</v>
      </c>
      <c r="I660" t="str">
        <f t="shared" si="180"/>
        <v>0</v>
      </c>
      <c r="J660" t="str">
        <f t="shared" si="165"/>
        <v>00</v>
      </c>
      <c r="K660">
        <v>20141204</v>
      </c>
      <c r="L660" t="str">
        <f>"014610"</f>
        <v>014610</v>
      </c>
      <c r="M660" t="str">
        <f>"00726"</f>
        <v>00726</v>
      </c>
      <c r="N660" t="s">
        <v>227</v>
      </c>
      <c r="O660">
        <v>756.75</v>
      </c>
      <c r="Q660" t="s">
        <v>33</v>
      </c>
      <c r="R660" t="s">
        <v>34</v>
      </c>
      <c r="S660" t="s">
        <v>35</v>
      </c>
      <c r="T660" t="s">
        <v>35</v>
      </c>
      <c r="U660" t="s">
        <v>34</v>
      </c>
      <c r="V660" t="str">
        <f>""</f>
        <v/>
      </c>
      <c r="W660">
        <v>20141203</v>
      </c>
      <c r="X660" t="s">
        <v>228</v>
      </c>
      <c r="Y660" t="s">
        <v>550</v>
      </c>
      <c r="Z660" t="s">
        <v>550</v>
      </c>
      <c r="AA660">
        <v>0</v>
      </c>
      <c r="AB660" t="s">
        <v>142</v>
      </c>
      <c r="AC660" t="s">
        <v>143</v>
      </c>
      <c r="AD660" t="s">
        <v>40</v>
      </c>
      <c r="AE660" t="str">
        <f t="shared" si="179"/>
        <v>12</v>
      </c>
      <c r="AF660" t="s">
        <v>40</v>
      </c>
    </row>
    <row r="661" spans="1:32" x14ac:dyDescent="0.25">
      <c r="A661">
        <v>5</v>
      </c>
      <c r="B661">
        <v>420</v>
      </c>
      <c r="C661" t="str">
        <f>"11"</f>
        <v>11</v>
      </c>
      <c r="D661">
        <v>6411</v>
      </c>
      <c r="E661" t="str">
        <f>"00"</f>
        <v>00</v>
      </c>
      <c r="F661" t="str">
        <f t="shared" si="184"/>
        <v>999</v>
      </c>
      <c r="G661">
        <v>5</v>
      </c>
      <c r="H661" t="str">
        <f>"11"</f>
        <v>11</v>
      </c>
      <c r="I661" t="str">
        <f t="shared" si="180"/>
        <v>0</v>
      </c>
      <c r="J661" t="str">
        <f t="shared" ref="J661:J724" si="185">"00"</f>
        <v>00</v>
      </c>
      <c r="K661">
        <v>20141204</v>
      </c>
      <c r="L661" t="str">
        <f>"014611"</f>
        <v>014611</v>
      </c>
      <c r="M661" t="str">
        <f>"00762"</f>
        <v>00762</v>
      </c>
      <c r="N661" t="s">
        <v>52</v>
      </c>
      <c r="O661">
        <v>29.98</v>
      </c>
      <c r="Q661" t="s">
        <v>33</v>
      </c>
      <c r="R661" t="s">
        <v>34</v>
      </c>
      <c r="S661" t="s">
        <v>35</v>
      </c>
      <c r="T661" t="s">
        <v>35</v>
      </c>
      <c r="U661" t="s">
        <v>34</v>
      </c>
      <c r="V661" t="str">
        <f>""</f>
        <v/>
      </c>
      <c r="W661">
        <v>20141203</v>
      </c>
      <c r="X661" t="s">
        <v>328</v>
      </c>
      <c r="Y661" t="s">
        <v>551</v>
      </c>
      <c r="Z661" t="s">
        <v>551</v>
      </c>
      <c r="AA661">
        <v>0</v>
      </c>
      <c r="AB661" t="s">
        <v>142</v>
      </c>
      <c r="AC661" t="s">
        <v>143</v>
      </c>
      <c r="AD661" t="s">
        <v>40</v>
      </c>
      <c r="AE661" t="str">
        <f t="shared" si="179"/>
        <v>12</v>
      </c>
      <c r="AF661" t="s">
        <v>40</v>
      </c>
    </row>
    <row r="662" spans="1:32" x14ac:dyDescent="0.25">
      <c r="A662">
        <v>5</v>
      </c>
      <c r="B662">
        <v>240</v>
      </c>
      <c r="C662" t="str">
        <f>"35"</f>
        <v>35</v>
      </c>
      <c r="D662">
        <v>6349</v>
      </c>
      <c r="E662" t="str">
        <f>"00"</f>
        <v>00</v>
      </c>
      <c r="F662" t="str">
        <f t="shared" si="184"/>
        <v>999</v>
      </c>
      <c r="G662">
        <v>5</v>
      </c>
      <c r="H662" t="str">
        <f t="shared" ref="H662:H677" si="186">"99"</f>
        <v>99</v>
      </c>
      <c r="I662" t="str">
        <f t="shared" si="180"/>
        <v>0</v>
      </c>
      <c r="J662" t="str">
        <f t="shared" si="185"/>
        <v>00</v>
      </c>
      <c r="K662">
        <v>20141204</v>
      </c>
      <c r="L662" t="str">
        <f>"014612"</f>
        <v>014612</v>
      </c>
      <c r="M662" t="str">
        <f>"00789"</f>
        <v>00789</v>
      </c>
      <c r="N662" t="s">
        <v>455</v>
      </c>
      <c r="O662">
        <v>141.53</v>
      </c>
      <c r="Q662" t="s">
        <v>33</v>
      </c>
      <c r="R662" t="s">
        <v>34</v>
      </c>
      <c r="S662" t="s">
        <v>35</v>
      </c>
      <c r="T662" t="s">
        <v>35</v>
      </c>
      <c r="U662" t="s">
        <v>34</v>
      </c>
      <c r="V662" t="str">
        <f>""</f>
        <v/>
      </c>
      <c r="W662">
        <v>20141203</v>
      </c>
      <c r="X662" t="s">
        <v>236</v>
      </c>
      <c r="Y662" t="s">
        <v>552</v>
      </c>
      <c r="Z662" t="s">
        <v>552</v>
      </c>
      <c r="AA662">
        <v>0</v>
      </c>
      <c r="AB662" t="s">
        <v>238</v>
      </c>
      <c r="AC662" t="s">
        <v>143</v>
      </c>
      <c r="AD662" t="s">
        <v>40</v>
      </c>
      <c r="AE662" t="str">
        <f t="shared" si="179"/>
        <v>12</v>
      </c>
      <c r="AF662" t="s">
        <v>40</v>
      </c>
    </row>
    <row r="663" spans="1:32" x14ac:dyDescent="0.25">
      <c r="A663">
        <v>5</v>
      </c>
      <c r="B663">
        <v>420</v>
      </c>
      <c r="C663" t="str">
        <f>"52"</f>
        <v>52</v>
      </c>
      <c r="D663">
        <v>6219</v>
      </c>
      <c r="E663" t="str">
        <f>"00"</f>
        <v>00</v>
      </c>
      <c r="F663" t="str">
        <f t="shared" si="184"/>
        <v>999</v>
      </c>
      <c r="G663">
        <v>5</v>
      </c>
      <c r="H663" t="str">
        <f t="shared" si="186"/>
        <v>99</v>
      </c>
      <c r="I663" t="str">
        <f t="shared" si="180"/>
        <v>0</v>
      </c>
      <c r="J663" t="str">
        <f t="shared" si="185"/>
        <v>00</v>
      </c>
      <c r="K663">
        <v>20141204</v>
      </c>
      <c r="L663" t="str">
        <f>"014613"</f>
        <v>014613</v>
      </c>
      <c r="M663" t="str">
        <f>"00801"</f>
        <v>00801</v>
      </c>
      <c r="N663" t="s">
        <v>553</v>
      </c>
      <c r="O663">
        <v>189.8</v>
      </c>
      <c r="Q663" t="s">
        <v>33</v>
      </c>
      <c r="R663" t="s">
        <v>34</v>
      </c>
      <c r="S663" t="s">
        <v>35</v>
      </c>
      <c r="T663" t="s">
        <v>35</v>
      </c>
      <c r="U663" t="s">
        <v>34</v>
      </c>
      <c r="V663" t="str">
        <f>""</f>
        <v/>
      </c>
      <c r="W663">
        <v>20141203</v>
      </c>
      <c r="X663" t="s">
        <v>208</v>
      </c>
      <c r="Y663" t="s">
        <v>554</v>
      </c>
      <c r="Z663" t="s">
        <v>554</v>
      </c>
      <c r="AA663">
        <v>0</v>
      </c>
      <c r="AB663" t="s">
        <v>142</v>
      </c>
      <c r="AC663" t="s">
        <v>143</v>
      </c>
      <c r="AD663" t="s">
        <v>40</v>
      </c>
      <c r="AE663" t="str">
        <f t="shared" si="179"/>
        <v>12</v>
      </c>
      <c r="AF663" t="s">
        <v>40</v>
      </c>
    </row>
    <row r="664" spans="1:32" x14ac:dyDescent="0.25">
      <c r="A664">
        <v>5</v>
      </c>
      <c r="B664">
        <v>420</v>
      </c>
      <c r="C664" t="str">
        <f>"51"</f>
        <v>51</v>
      </c>
      <c r="D664">
        <v>6259</v>
      </c>
      <c r="E664" t="str">
        <f>"55"</f>
        <v>55</v>
      </c>
      <c r="F664" t="str">
        <f t="shared" si="184"/>
        <v>999</v>
      </c>
      <c r="G664">
        <v>5</v>
      </c>
      <c r="H664" t="str">
        <f t="shared" si="186"/>
        <v>99</v>
      </c>
      <c r="I664" t="str">
        <f t="shared" si="180"/>
        <v>0</v>
      </c>
      <c r="J664" t="str">
        <f t="shared" si="185"/>
        <v>00</v>
      </c>
      <c r="K664">
        <v>20141204</v>
      </c>
      <c r="L664" t="str">
        <f>"014614"</f>
        <v>014614</v>
      </c>
      <c r="M664" t="str">
        <f>"00306"</f>
        <v>00306</v>
      </c>
      <c r="N664" t="s">
        <v>245</v>
      </c>
      <c r="O664">
        <v>106.09</v>
      </c>
      <c r="Q664" t="s">
        <v>33</v>
      </c>
      <c r="R664" t="s">
        <v>34</v>
      </c>
      <c r="S664" t="s">
        <v>35</v>
      </c>
      <c r="T664" t="s">
        <v>35</v>
      </c>
      <c r="U664" t="s">
        <v>34</v>
      </c>
      <c r="V664" t="str">
        <f>""</f>
        <v/>
      </c>
      <c r="W664">
        <v>20141203</v>
      </c>
      <c r="X664" t="s">
        <v>243</v>
      </c>
      <c r="Y664" t="s">
        <v>555</v>
      </c>
      <c r="Z664" t="s">
        <v>555</v>
      </c>
      <c r="AA664">
        <v>0</v>
      </c>
      <c r="AB664" t="s">
        <v>142</v>
      </c>
      <c r="AC664" t="s">
        <v>143</v>
      </c>
      <c r="AD664" t="s">
        <v>40</v>
      </c>
      <c r="AE664" t="str">
        <f t="shared" si="179"/>
        <v>12</v>
      </c>
      <c r="AF664" t="s">
        <v>40</v>
      </c>
    </row>
    <row r="665" spans="1:32" x14ac:dyDescent="0.25">
      <c r="A665">
        <v>5</v>
      </c>
      <c r="B665">
        <v>420</v>
      </c>
      <c r="C665" t="str">
        <f>"51"</f>
        <v>51</v>
      </c>
      <c r="D665">
        <v>6259</v>
      </c>
      <c r="E665" t="str">
        <f>"55"</f>
        <v>55</v>
      </c>
      <c r="F665" t="str">
        <f t="shared" si="184"/>
        <v>999</v>
      </c>
      <c r="G665">
        <v>5</v>
      </c>
      <c r="H665" t="str">
        <f t="shared" si="186"/>
        <v>99</v>
      </c>
      <c r="I665" t="str">
        <f t="shared" si="180"/>
        <v>0</v>
      </c>
      <c r="J665" t="str">
        <f t="shared" si="185"/>
        <v>00</v>
      </c>
      <c r="K665">
        <v>20141204</v>
      </c>
      <c r="L665" t="str">
        <f>"014614"</f>
        <v>014614</v>
      </c>
      <c r="M665" t="str">
        <f>"00306"</f>
        <v>00306</v>
      </c>
      <c r="N665" t="s">
        <v>245</v>
      </c>
      <c r="O665">
        <v>345.45</v>
      </c>
      <c r="Q665" t="s">
        <v>33</v>
      </c>
      <c r="R665" t="s">
        <v>34</v>
      </c>
      <c r="S665" t="s">
        <v>35</v>
      </c>
      <c r="T665" t="s">
        <v>35</v>
      </c>
      <c r="U665" t="s">
        <v>34</v>
      </c>
      <c r="V665" t="str">
        <f>""</f>
        <v/>
      </c>
      <c r="W665">
        <v>20141203</v>
      </c>
      <c r="X665" t="s">
        <v>243</v>
      </c>
      <c r="Y665" t="s">
        <v>555</v>
      </c>
      <c r="Z665" t="s">
        <v>555</v>
      </c>
      <c r="AA665">
        <v>0</v>
      </c>
      <c r="AB665" t="s">
        <v>142</v>
      </c>
      <c r="AC665" t="s">
        <v>143</v>
      </c>
      <c r="AD665" t="s">
        <v>40</v>
      </c>
      <c r="AE665" t="str">
        <f t="shared" si="179"/>
        <v>12</v>
      </c>
      <c r="AF665" t="s">
        <v>40</v>
      </c>
    </row>
    <row r="666" spans="1:32" x14ac:dyDescent="0.25">
      <c r="A666">
        <v>5</v>
      </c>
      <c r="B666">
        <v>420</v>
      </c>
      <c r="C666" t="str">
        <f>"51"</f>
        <v>51</v>
      </c>
      <c r="D666">
        <v>6259</v>
      </c>
      <c r="E666" t="str">
        <f>"55"</f>
        <v>55</v>
      </c>
      <c r="F666" t="str">
        <f t="shared" si="184"/>
        <v>999</v>
      </c>
      <c r="G666">
        <v>5</v>
      </c>
      <c r="H666" t="str">
        <f t="shared" si="186"/>
        <v>99</v>
      </c>
      <c r="I666" t="str">
        <f t="shared" si="180"/>
        <v>0</v>
      </c>
      <c r="J666" t="str">
        <f t="shared" si="185"/>
        <v>00</v>
      </c>
      <c r="K666">
        <v>20141204</v>
      </c>
      <c r="L666" t="str">
        <f>"014614"</f>
        <v>014614</v>
      </c>
      <c r="M666" t="str">
        <f>"00306"</f>
        <v>00306</v>
      </c>
      <c r="N666" t="s">
        <v>245</v>
      </c>
      <c r="O666">
        <v>529.19000000000005</v>
      </c>
      <c r="Q666" t="s">
        <v>33</v>
      </c>
      <c r="R666" t="s">
        <v>34</v>
      </c>
      <c r="S666" t="s">
        <v>35</v>
      </c>
      <c r="T666" t="s">
        <v>35</v>
      </c>
      <c r="U666" t="s">
        <v>34</v>
      </c>
      <c r="V666" t="str">
        <f>""</f>
        <v/>
      </c>
      <c r="W666">
        <v>20141203</v>
      </c>
      <c r="X666" t="s">
        <v>243</v>
      </c>
      <c r="Y666" t="s">
        <v>555</v>
      </c>
      <c r="Z666" t="s">
        <v>555</v>
      </c>
      <c r="AA666">
        <v>0</v>
      </c>
      <c r="AB666" t="s">
        <v>142</v>
      </c>
      <c r="AC666" t="s">
        <v>143</v>
      </c>
      <c r="AD666" t="s">
        <v>40</v>
      </c>
      <c r="AE666" t="str">
        <f t="shared" si="179"/>
        <v>12</v>
      </c>
      <c r="AF666" t="s">
        <v>40</v>
      </c>
    </row>
    <row r="667" spans="1:32" x14ac:dyDescent="0.25">
      <c r="A667">
        <v>5</v>
      </c>
      <c r="B667">
        <v>420</v>
      </c>
      <c r="C667" t="str">
        <f>"34"</f>
        <v>34</v>
      </c>
      <c r="D667">
        <v>6249</v>
      </c>
      <c r="E667" t="str">
        <f t="shared" ref="E667:E699" si="187">"00"</f>
        <v>00</v>
      </c>
      <c r="F667" t="str">
        <f t="shared" si="184"/>
        <v>999</v>
      </c>
      <c r="G667">
        <v>5</v>
      </c>
      <c r="H667" t="str">
        <f t="shared" si="186"/>
        <v>99</v>
      </c>
      <c r="I667" t="str">
        <f t="shared" si="180"/>
        <v>0</v>
      </c>
      <c r="J667" t="str">
        <f t="shared" si="185"/>
        <v>00</v>
      </c>
      <c r="K667">
        <v>20141204</v>
      </c>
      <c r="L667" t="str">
        <f>"014615"</f>
        <v>014615</v>
      </c>
      <c r="M667" t="str">
        <f>"00554"</f>
        <v>00554</v>
      </c>
      <c r="N667" t="s">
        <v>483</v>
      </c>
      <c r="O667">
        <v>34.4</v>
      </c>
      <c r="Q667" t="s">
        <v>33</v>
      </c>
      <c r="R667" t="s">
        <v>34</v>
      </c>
      <c r="S667" t="s">
        <v>35</v>
      </c>
      <c r="T667" t="s">
        <v>35</v>
      </c>
      <c r="U667" t="s">
        <v>34</v>
      </c>
      <c r="V667" t="str">
        <f>""</f>
        <v/>
      </c>
      <c r="W667">
        <v>20141204</v>
      </c>
      <c r="X667" t="s">
        <v>484</v>
      </c>
      <c r="Y667" t="s">
        <v>556</v>
      </c>
      <c r="Z667" t="s">
        <v>556</v>
      </c>
      <c r="AA667">
        <v>0</v>
      </c>
      <c r="AB667" t="s">
        <v>142</v>
      </c>
      <c r="AC667" t="s">
        <v>143</v>
      </c>
      <c r="AD667" t="s">
        <v>40</v>
      </c>
      <c r="AE667" t="str">
        <f t="shared" si="179"/>
        <v>12</v>
      </c>
      <c r="AF667" t="s">
        <v>40</v>
      </c>
    </row>
    <row r="668" spans="1:32" x14ac:dyDescent="0.25">
      <c r="A668">
        <v>5</v>
      </c>
      <c r="B668">
        <v>240</v>
      </c>
      <c r="C668" t="str">
        <f>"35"</f>
        <v>35</v>
      </c>
      <c r="D668">
        <v>6399</v>
      </c>
      <c r="E668" t="str">
        <f t="shared" si="187"/>
        <v>00</v>
      </c>
      <c r="F668" t="str">
        <f t="shared" si="184"/>
        <v>999</v>
      </c>
      <c r="G668">
        <v>5</v>
      </c>
      <c r="H668" t="str">
        <f t="shared" si="186"/>
        <v>99</v>
      </c>
      <c r="I668" t="str">
        <f t="shared" si="180"/>
        <v>0</v>
      </c>
      <c r="J668" t="str">
        <f t="shared" si="185"/>
        <v>00</v>
      </c>
      <c r="K668">
        <v>20141204</v>
      </c>
      <c r="L668" t="str">
        <f>"014616"</f>
        <v>014616</v>
      </c>
      <c r="M668" t="str">
        <f>"00701"</f>
        <v>00701</v>
      </c>
      <c r="N668" t="s">
        <v>120</v>
      </c>
      <c r="O668">
        <v>137.15</v>
      </c>
      <c r="Q668" t="s">
        <v>33</v>
      </c>
      <c r="R668" t="s">
        <v>34</v>
      </c>
      <c r="S668" t="s">
        <v>35</v>
      </c>
      <c r="T668" t="s">
        <v>35</v>
      </c>
      <c r="U668" t="s">
        <v>34</v>
      </c>
      <c r="V668" t="str">
        <f>""</f>
        <v/>
      </c>
      <c r="W668">
        <v>20141203</v>
      </c>
      <c r="X668" t="s">
        <v>473</v>
      </c>
      <c r="Y668" t="s">
        <v>333</v>
      </c>
      <c r="Z668" t="s">
        <v>333</v>
      </c>
      <c r="AA668">
        <v>0</v>
      </c>
      <c r="AB668" t="s">
        <v>238</v>
      </c>
      <c r="AC668" t="s">
        <v>143</v>
      </c>
      <c r="AD668" t="s">
        <v>40</v>
      </c>
      <c r="AE668" t="str">
        <f t="shared" si="179"/>
        <v>12</v>
      </c>
      <c r="AF668" t="s">
        <v>40</v>
      </c>
    </row>
    <row r="669" spans="1:32" x14ac:dyDescent="0.25">
      <c r="A669">
        <v>5</v>
      </c>
      <c r="B669">
        <v>240</v>
      </c>
      <c r="C669" t="str">
        <f>"35"</f>
        <v>35</v>
      </c>
      <c r="D669">
        <v>6341</v>
      </c>
      <c r="E669" t="str">
        <f t="shared" si="187"/>
        <v>00</v>
      </c>
      <c r="F669" t="str">
        <f t="shared" si="184"/>
        <v>999</v>
      </c>
      <c r="G669">
        <v>5</v>
      </c>
      <c r="H669" t="str">
        <f t="shared" si="186"/>
        <v>99</v>
      </c>
      <c r="I669" t="str">
        <f t="shared" si="180"/>
        <v>0</v>
      </c>
      <c r="J669" t="str">
        <f t="shared" si="185"/>
        <v>00</v>
      </c>
      <c r="K669">
        <v>20141204</v>
      </c>
      <c r="L669" t="str">
        <f>"014617"</f>
        <v>014617</v>
      </c>
      <c r="M669" t="str">
        <f>"00391"</f>
        <v>00391</v>
      </c>
      <c r="N669" t="s">
        <v>265</v>
      </c>
      <c r="O669" s="1">
        <v>2870.93</v>
      </c>
      <c r="Q669" t="s">
        <v>33</v>
      </c>
      <c r="R669" t="s">
        <v>34</v>
      </c>
      <c r="S669" t="s">
        <v>35</v>
      </c>
      <c r="T669" t="s">
        <v>35</v>
      </c>
      <c r="U669" t="s">
        <v>34</v>
      </c>
      <c r="V669" t="str">
        <f>""</f>
        <v/>
      </c>
      <c r="W669">
        <v>20141203</v>
      </c>
      <c r="X669" t="s">
        <v>268</v>
      </c>
      <c r="Y669" t="s">
        <v>557</v>
      </c>
      <c r="Z669" t="s">
        <v>557</v>
      </c>
      <c r="AA669">
        <v>0</v>
      </c>
      <c r="AB669" t="s">
        <v>238</v>
      </c>
      <c r="AC669" t="s">
        <v>143</v>
      </c>
      <c r="AD669" t="s">
        <v>40</v>
      </c>
      <c r="AE669" t="str">
        <f t="shared" si="179"/>
        <v>12</v>
      </c>
      <c r="AF669" t="s">
        <v>40</v>
      </c>
    </row>
    <row r="670" spans="1:32" x14ac:dyDescent="0.25">
      <c r="A670">
        <v>5</v>
      </c>
      <c r="B670">
        <v>240</v>
      </c>
      <c r="C670" t="str">
        <f>"35"</f>
        <v>35</v>
      </c>
      <c r="D670">
        <v>6341</v>
      </c>
      <c r="E670" t="str">
        <f t="shared" si="187"/>
        <v>00</v>
      </c>
      <c r="F670" t="str">
        <f t="shared" si="184"/>
        <v>999</v>
      </c>
      <c r="G670">
        <v>5</v>
      </c>
      <c r="H670" t="str">
        <f t="shared" si="186"/>
        <v>99</v>
      </c>
      <c r="I670" t="str">
        <f t="shared" si="180"/>
        <v>0</v>
      </c>
      <c r="J670" t="str">
        <f t="shared" si="185"/>
        <v>00</v>
      </c>
      <c r="K670">
        <v>20141204</v>
      </c>
      <c r="L670" t="str">
        <f>"014617"</f>
        <v>014617</v>
      </c>
      <c r="M670" t="str">
        <f>"00391"</f>
        <v>00391</v>
      </c>
      <c r="N670" t="s">
        <v>265</v>
      </c>
      <c r="O670">
        <v>67.16</v>
      </c>
      <c r="Q670" t="s">
        <v>33</v>
      </c>
      <c r="R670" t="s">
        <v>34</v>
      </c>
      <c r="S670" t="s">
        <v>35</v>
      </c>
      <c r="T670" t="s">
        <v>35</v>
      </c>
      <c r="U670" t="s">
        <v>34</v>
      </c>
      <c r="V670" t="str">
        <f>""</f>
        <v/>
      </c>
      <c r="W670">
        <v>20141203</v>
      </c>
      <c r="X670" t="s">
        <v>268</v>
      </c>
      <c r="Y670" t="s">
        <v>557</v>
      </c>
      <c r="Z670" t="s">
        <v>557</v>
      </c>
      <c r="AA670">
        <v>0</v>
      </c>
      <c r="AB670" t="s">
        <v>238</v>
      </c>
      <c r="AC670" t="s">
        <v>143</v>
      </c>
      <c r="AD670" t="s">
        <v>40</v>
      </c>
      <c r="AE670" t="str">
        <f t="shared" si="179"/>
        <v>12</v>
      </c>
      <c r="AF670" t="s">
        <v>40</v>
      </c>
    </row>
    <row r="671" spans="1:32" x14ac:dyDescent="0.25">
      <c r="A671">
        <v>5</v>
      </c>
      <c r="B671">
        <v>240</v>
      </c>
      <c r="C671" t="str">
        <f>"35"</f>
        <v>35</v>
      </c>
      <c r="D671">
        <v>6342</v>
      </c>
      <c r="E671" t="str">
        <f t="shared" si="187"/>
        <v>00</v>
      </c>
      <c r="F671" t="str">
        <f t="shared" si="184"/>
        <v>999</v>
      </c>
      <c r="G671">
        <v>5</v>
      </c>
      <c r="H671" t="str">
        <f t="shared" si="186"/>
        <v>99</v>
      </c>
      <c r="I671" t="str">
        <f t="shared" si="180"/>
        <v>0</v>
      </c>
      <c r="J671" t="str">
        <f t="shared" si="185"/>
        <v>00</v>
      </c>
      <c r="K671">
        <v>20141204</v>
      </c>
      <c r="L671" t="str">
        <f>"014617"</f>
        <v>014617</v>
      </c>
      <c r="M671" t="str">
        <f>"00391"</f>
        <v>00391</v>
      </c>
      <c r="N671" t="s">
        <v>265</v>
      </c>
      <c r="O671">
        <v>148.41999999999999</v>
      </c>
      <c r="Q671" t="s">
        <v>33</v>
      </c>
      <c r="R671" t="s">
        <v>34</v>
      </c>
      <c r="S671" t="s">
        <v>35</v>
      </c>
      <c r="T671" t="s">
        <v>35</v>
      </c>
      <c r="U671" t="s">
        <v>34</v>
      </c>
      <c r="V671" t="str">
        <f>""</f>
        <v/>
      </c>
      <c r="W671">
        <v>20141203</v>
      </c>
      <c r="X671" t="s">
        <v>269</v>
      </c>
      <c r="Y671" t="s">
        <v>557</v>
      </c>
      <c r="Z671" t="s">
        <v>557</v>
      </c>
      <c r="AA671">
        <v>0</v>
      </c>
      <c r="AB671" t="s">
        <v>238</v>
      </c>
      <c r="AC671" t="s">
        <v>143</v>
      </c>
      <c r="AD671" t="s">
        <v>40</v>
      </c>
      <c r="AE671" t="str">
        <f t="shared" si="179"/>
        <v>12</v>
      </c>
      <c r="AF671" t="s">
        <v>40</v>
      </c>
    </row>
    <row r="672" spans="1:32" x14ac:dyDescent="0.25">
      <c r="A672">
        <v>5</v>
      </c>
      <c r="B672">
        <v>420</v>
      </c>
      <c r="C672" t="str">
        <f>"41"</f>
        <v>41</v>
      </c>
      <c r="D672">
        <v>6499</v>
      </c>
      <c r="E672" t="str">
        <f t="shared" si="187"/>
        <v>00</v>
      </c>
      <c r="F672" t="str">
        <f>"750"</f>
        <v>750</v>
      </c>
      <c r="G672">
        <v>5</v>
      </c>
      <c r="H672" t="str">
        <f t="shared" si="186"/>
        <v>99</v>
      </c>
      <c r="I672" t="str">
        <f t="shared" si="180"/>
        <v>0</v>
      </c>
      <c r="J672" t="str">
        <f t="shared" si="185"/>
        <v>00</v>
      </c>
      <c r="K672">
        <v>20141204</v>
      </c>
      <c r="L672" t="str">
        <f>"014618"</f>
        <v>014618</v>
      </c>
      <c r="M672" t="str">
        <f>"00802"</f>
        <v>00802</v>
      </c>
      <c r="N672" t="s">
        <v>558</v>
      </c>
      <c r="O672">
        <v>800</v>
      </c>
      <c r="Q672" t="s">
        <v>33</v>
      </c>
      <c r="R672" t="s">
        <v>34</v>
      </c>
      <c r="S672" t="s">
        <v>35</v>
      </c>
      <c r="T672" t="s">
        <v>35</v>
      </c>
      <c r="U672" t="s">
        <v>34</v>
      </c>
      <c r="V672" t="str">
        <f>""</f>
        <v/>
      </c>
      <c r="W672">
        <v>20141203</v>
      </c>
      <c r="X672" t="s">
        <v>168</v>
      </c>
      <c r="Y672" t="s">
        <v>559</v>
      </c>
      <c r="Z672" t="s">
        <v>559</v>
      </c>
      <c r="AA672">
        <v>0</v>
      </c>
      <c r="AB672" t="s">
        <v>142</v>
      </c>
      <c r="AC672" t="s">
        <v>170</v>
      </c>
      <c r="AD672" t="s">
        <v>40</v>
      </c>
      <c r="AE672" t="str">
        <f t="shared" si="179"/>
        <v>12</v>
      </c>
      <c r="AF672" t="s">
        <v>40</v>
      </c>
    </row>
    <row r="673" spans="1:32" x14ac:dyDescent="0.25">
      <c r="A673">
        <v>5</v>
      </c>
      <c r="B673">
        <v>240</v>
      </c>
      <c r="C673" t="str">
        <f>"35"</f>
        <v>35</v>
      </c>
      <c r="D673">
        <v>6299</v>
      </c>
      <c r="E673" t="str">
        <f t="shared" si="187"/>
        <v>00</v>
      </c>
      <c r="F673" t="str">
        <f>"999"</f>
        <v>999</v>
      </c>
      <c r="G673">
        <v>5</v>
      </c>
      <c r="H673" t="str">
        <f t="shared" si="186"/>
        <v>99</v>
      </c>
      <c r="I673" t="str">
        <f t="shared" si="180"/>
        <v>0</v>
      </c>
      <c r="J673" t="str">
        <f t="shared" si="185"/>
        <v>00</v>
      </c>
      <c r="K673">
        <v>20141204</v>
      </c>
      <c r="L673" t="str">
        <f>"014619"</f>
        <v>014619</v>
      </c>
      <c r="M673" t="str">
        <f>"00577"</f>
        <v>00577</v>
      </c>
      <c r="N673" t="s">
        <v>251</v>
      </c>
      <c r="O673">
        <v>39.04</v>
      </c>
      <c r="Q673" t="s">
        <v>33</v>
      </c>
      <c r="R673" t="s">
        <v>34</v>
      </c>
      <c r="S673" t="s">
        <v>35</v>
      </c>
      <c r="T673" t="s">
        <v>35</v>
      </c>
      <c r="U673" t="s">
        <v>34</v>
      </c>
      <c r="V673" t="str">
        <f>""</f>
        <v/>
      </c>
      <c r="W673">
        <v>20141203</v>
      </c>
      <c r="X673" t="s">
        <v>252</v>
      </c>
      <c r="Y673" t="s">
        <v>560</v>
      </c>
      <c r="Z673" t="s">
        <v>560</v>
      </c>
      <c r="AA673">
        <v>0</v>
      </c>
      <c r="AB673" t="s">
        <v>238</v>
      </c>
      <c r="AC673" t="s">
        <v>143</v>
      </c>
      <c r="AD673" t="s">
        <v>40</v>
      </c>
      <c r="AE673" t="str">
        <f t="shared" si="179"/>
        <v>12</v>
      </c>
      <c r="AF673" t="s">
        <v>40</v>
      </c>
    </row>
    <row r="674" spans="1:32" x14ac:dyDescent="0.25">
      <c r="A674">
        <v>5</v>
      </c>
      <c r="B674">
        <v>420</v>
      </c>
      <c r="C674" t="str">
        <f>"51"</f>
        <v>51</v>
      </c>
      <c r="D674">
        <v>6299</v>
      </c>
      <c r="E674" t="str">
        <f t="shared" si="187"/>
        <v>00</v>
      </c>
      <c r="F674" t="str">
        <f>"999"</f>
        <v>999</v>
      </c>
      <c r="G674">
        <v>5</v>
      </c>
      <c r="H674" t="str">
        <f t="shared" si="186"/>
        <v>99</v>
      </c>
      <c r="I674" t="str">
        <f t="shared" si="180"/>
        <v>0</v>
      </c>
      <c r="J674" t="str">
        <f t="shared" si="185"/>
        <v>00</v>
      </c>
      <c r="K674">
        <v>20141204</v>
      </c>
      <c r="L674" t="str">
        <f>"014619"</f>
        <v>014619</v>
      </c>
      <c r="M674" t="str">
        <f>"00577"</f>
        <v>00577</v>
      </c>
      <c r="N674" t="s">
        <v>251</v>
      </c>
      <c r="O674">
        <v>63.72</v>
      </c>
      <c r="Q674" t="s">
        <v>33</v>
      </c>
      <c r="R674" t="s">
        <v>34</v>
      </c>
      <c r="S674" t="s">
        <v>35</v>
      </c>
      <c r="T674" t="s">
        <v>35</v>
      </c>
      <c r="U674" t="s">
        <v>34</v>
      </c>
      <c r="V674" t="str">
        <f>""</f>
        <v/>
      </c>
      <c r="W674">
        <v>20141204</v>
      </c>
      <c r="X674" t="s">
        <v>203</v>
      </c>
      <c r="Y674" t="s">
        <v>561</v>
      </c>
      <c r="Z674" t="s">
        <v>561</v>
      </c>
      <c r="AA674">
        <v>0</v>
      </c>
      <c r="AB674" t="s">
        <v>142</v>
      </c>
      <c r="AC674" t="s">
        <v>143</v>
      </c>
      <c r="AD674" t="s">
        <v>40</v>
      </c>
      <c r="AE674" t="str">
        <f t="shared" si="179"/>
        <v>12</v>
      </c>
      <c r="AF674" t="s">
        <v>40</v>
      </c>
    </row>
    <row r="675" spans="1:32" x14ac:dyDescent="0.25">
      <c r="A675">
        <v>5</v>
      </c>
      <c r="B675">
        <v>420</v>
      </c>
      <c r="C675" t="str">
        <f>"51"</f>
        <v>51</v>
      </c>
      <c r="D675">
        <v>6299</v>
      </c>
      <c r="E675" t="str">
        <f t="shared" si="187"/>
        <v>00</v>
      </c>
      <c r="F675" t="str">
        <f>"999"</f>
        <v>999</v>
      </c>
      <c r="G675">
        <v>5</v>
      </c>
      <c r="H675" t="str">
        <f t="shared" si="186"/>
        <v>99</v>
      </c>
      <c r="I675" t="str">
        <f t="shared" si="180"/>
        <v>0</v>
      </c>
      <c r="J675" t="str">
        <f t="shared" si="185"/>
        <v>00</v>
      </c>
      <c r="K675">
        <v>20141204</v>
      </c>
      <c r="L675" t="str">
        <f>"014619"</f>
        <v>014619</v>
      </c>
      <c r="M675" t="str">
        <f>"00577"</f>
        <v>00577</v>
      </c>
      <c r="N675" t="s">
        <v>251</v>
      </c>
      <c r="O675">
        <v>63.72</v>
      </c>
      <c r="Q675" t="s">
        <v>33</v>
      </c>
      <c r="R675" t="s">
        <v>34</v>
      </c>
      <c r="S675" t="s">
        <v>35</v>
      </c>
      <c r="T675" t="s">
        <v>35</v>
      </c>
      <c r="U675" t="s">
        <v>34</v>
      </c>
      <c r="V675" t="str">
        <f>""</f>
        <v/>
      </c>
      <c r="W675">
        <v>20141204</v>
      </c>
      <c r="X675" t="s">
        <v>203</v>
      </c>
      <c r="Y675" t="s">
        <v>561</v>
      </c>
      <c r="Z675" t="s">
        <v>561</v>
      </c>
      <c r="AA675">
        <v>0</v>
      </c>
      <c r="AB675" t="s">
        <v>142</v>
      </c>
      <c r="AC675" t="s">
        <v>143</v>
      </c>
      <c r="AD675" t="s">
        <v>40</v>
      </c>
      <c r="AE675" t="str">
        <f t="shared" si="179"/>
        <v>12</v>
      </c>
      <c r="AF675" t="s">
        <v>40</v>
      </c>
    </row>
    <row r="676" spans="1:32" x14ac:dyDescent="0.25">
      <c r="A676">
        <v>5</v>
      </c>
      <c r="B676">
        <v>420</v>
      </c>
      <c r="C676" t="str">
        <f>"51"</f>
        <v>51</v>
      </c>
      <c r="D676">
        <v>6299</v>
      </c>
      <c r="E676" t="str">
        <f t="shared" si="187"/>
        <v>00</v>
      </c>
      <c r="F676" t="str">
        <f>"999"</f>
        <v>999</v>
      </c>
      <c r="G676">
        <v>5</v>
      </c>
      <c r="H676" t="str">
        <f t="shared" si="186"/>
        <v>99</v>
      </c>
      <c r="I676" t="str">
        <f t="shared" si="180"/>
        <v>0</v>
      </c>
      <c r="J676" t="str">
        <f t="shared" si="185"/>
        <v>00</v>
      </c>
      <c r="K676">
        <v>20141204</v>
      </c>
      <c r="L676" t="str">
        <f>"014619"</f>
        <v>014619</v>
      </c>
      <c r="M676" t="str">
        <f>"00577"</f>
        <v>00577</v>
      </c>
      <c r="N676" t="s">
        <v>251</v>
      </c>
      <c r="O676">
        <v>63.72</v>
      </c>
      <c r="Q676" t="s">
        <v>33</v>
      </c>
      <c r="R676" t="s">
        <v>34</v>
      </c>
      <c r="S676" t="s">
        <v>35</v>
      </c>
      <c r="T676" t="s">
        <v>35</v>
      </c>
      <c r="U676" t="s">
        <v>34</v>
      </c>
      <c r="V676" t="str">
        <f>""</f>
        <v/>
      </c>
      <c r="W676">
        <v>20141204</v>
      </c>
      <c r="X676" t="s">
        <v>203</v>
      </c>
      <c r="Y676" t="s">
        <v>561</v>
      </c>
      <c r="Z676" t="s">
        <v>561</v>
      </c>
      <c r="AA676">
        <v>0</v>
      </c>
      <c r="AB676" t="s">
        <v>142</v>
      </c>
      <c r="AC676" t="s">
        <v>143</v>
      </c>
      <c r="AD676" t="s">
        <v>40</v>
      </c>
      <c r="AE676" t="str">
        <f t="shared" si="179"/>
        <v>12</v>
      </c>
      <c r="AF676" t="s">
        <v>40</v>
      </c>
    </row>
    <row r="677" spans="1:32" x14ac:dyDescent="0.25">
      <c r="A677">
        <v>5</v>
      </c>
      <c r="B677">
        <v>420</v>
      </c>
      <c r="C677" t="str">
        <f>"52"</f>
        <v>52</v>
      </c>
      <c r="D677">
        <v>6219</v>
      </c>
      <c r="E677" t="str">
        <f t="shared" si="187"/>
        <v>00</v>
      </c>
      <c r="F677" t="str">
        <f>"999"</f>
        <v>999</v>
      </c>
      <c r="G677">
        <v>5</v>
      </c>
      <c r="H677" t="str">
        <f t="shared" si="186"/>
        <v>99</v>
      </c>
      <c r="I677" t="str">
        <f t="shared" si="180"/>
        <v>0</v>
      </c>
      <c r="J677" t="str">
        <f t="shared" si="185"/>
        <v>00</v>
      </c>
      <c r="K677">
        <v>20141209</v>
      </c>
      <c r="L677" t="str">
        <f>"014620"</f>
        <v>014620</v>
      </c>
      <c r="M677" t="str">
        <f>"00392"</f>
        <v>00392</v>
      </c>
      <c r="N677" t="s">
        <v>218</v>
      </c>
      <c r="O677">
        <v>35.950000000000003</v>
      </c>
      <c r="Q677" t="s">
        <v>33</v>
      </c>
      <c r="R677" t="s">
        <v>34</v>
      </c>
      <c r="S677" t="s">
        <v>35</v>
      </c>
      <c r="T677" t="s">
        <v>35</v>
      </c>
      <c r="U677" t="s">
        <v>34</v>
      </c>
      <c r="V677" t="str">
        <f>""</f>
        <v/>
      </c>
      <c r="W677">
        <v>20141209</v>
      </c>
      <c r="X677" t="s">
        <v>208</v>
      </c>
      <c r="Y677" t="s">
        <v>219</v>
      </c>
      <c r="Z677" t="s">
        <v>219</v>
      </c>
      <c r="AA677">
        <v>0</v>
      </c>
      <c r="AB677" t="s">
        <v>142</v>
      </c>
      <c r="AC677" t="s">
        <v>143</v>
      </c>
      <c r="AD677" t="s">
        <v>40</v>
      </c>
      <c r="AE677" t="str">
        <f t="shared" si="179"/>
        <v>12</v>
      </c>
      <c r="AF677" t="s">
        <v>40</v>
      </c>
    </row>
    <row r="678" spans="1:32" x14ac:dyDescent="0.25">
      <c r="A678">
        <v>5</v>
      </c>
      <c r="B678">
        <v>211</v>
      </c>
      <c r="C678" t="str">
        <f>"11"</f>
        <v>11</v>
      </c>
      <c r="D678">
        <v>6399</v>
      </c>
      <c r="E678" t="str">
        <f t="shared" si="187"/>
        <v>00</v>
      </c>
      <c r="F678" t="str">
        <f>"101"</f>
        <v>101</v>
      </c>
      <c r="G678">
        <v>5</v>
      </c>
      <c r="H678" t="str">
        <f>"30"</f>
        <v>30</v>
      </c>
      <c r="I678" t="str">
        <f t="shared" si="180"/>
        <v>0</v>
      </c>
      <c r="J678" t="str">
        <f t="shared" si="185"/>
        <v>00</v>
      </c>
      <c r="K678">
        <v>20141209</v>
      </c>
      <c r="L678" t="str">
        <f>"014621"</f>
        <v>014621</v>
      </c>
      <c r="M678" t="str">
        <f>"00765"</f>
        <v>00765</v>
      </c>
      <c r="N678" t="s">
        <v>562</v>
      </c>
      <c r="O678" s="1">
        <v>2039.4</v>
      </c>
      <c r="Q678" t="s">
        <v>33</v>
      </c>
      <c r="R678" t="s">
        <v>34</v>
      </c>
      <c r="S678" t="s">
        <v>35</v>
      </c>
      <c r="T678" t="s">
        <v>35</v>
      </c>
      <c r="U678" t="s">
        <v>34</v>
      </c>
      <c r="V678" t="str">
        <f>""</f>
        <v/>
      </c>
      <c r="W678">
        <v>20141209</v>
      </c>
      <c r="X678" t="s">
        <v>422</v>
      </c>
      <c r="Y678" t="s">
        <v>500</v>
      </c>
      <c r="Z678" t="s">
        <v>500</v>
      </c>
      <c r="AA678">
        <v>0</v>
      </c>
      <c r="AB678" t="s">
        <v>174</v>
      </c>
      <c r="AC678" t="s">
        <v>41</v>
      </c>
      <c r="AD678" t="s">
        <v>40</v>
      </c>
      <c r="AE678" t="str">
        <f t="shared" si="179"/>
        <v>12</v>
      </c>
      <c r="AF678" t="s">
        <v>40</v>
      </c>
    </row>
    <row r="679" spans="1:32" x14ac:dyDescent="0.25">
      <c r="A679">
        <v>5</v>
      </c>
      <c r="B679">
        <v>240</v>
      </c>
      <c r="C679" t="str">
        <f>"35"</f>
        <v>35</v>
      </c>
      <c r="D679">
        <v>6341</v>
      </c>
      <c r="E679" t="str">
        <f t="shared" si="187"/>
        <v>00</v>
      </c>
      <c r="F679" t="str">
        <f>"999"</f>
        <v>999</v>
      </c>
      <c r="G679">
        <v>5</v>
      </c>
      <c r="H679" t="str">
        <f>"99"</f>
        <v>99</v>
      </c>
      <c r="I679" t="str">
        <f t="shared" si="180"/>
        <v>0</v>
      </c>
      <c r="J679" t="str">
        <f t="shared" si="185"/>
        <v>00</v>
      </c>
      <c r="K679">
        <v>20141209</v>
      </c>
      <c r="L679" t="str">
        <f>"014622"</f>
        <v>014622</v>
      </c>
      <c r="M679" t="str">
        <f>"00048"</f>
        <v>00048</v>
      </c>
      <c r="N679" t="s">
        <v>309</v>
      </c>
      <c r="O679">
        <v>111.24</v>
      </c>
      <c r="Q679" t="s">
        <v>33</v>
      </c>
      <c r="R679" t="s">
        <v>34</v>
      </c>
      <c r="S679" t="s">
        <v>35</v>
      </c>
      <c r="T679" t="s">
        <v>35</v>
      </c>
      <c r="U679" t="s">
        <v>34</v>
      </c>
      <c r="V679" t="str">
        <f>""</f>
        <v/>
      </c>
      <c r="W679">
        <v>20141209</v>
      </c>
      <c r="X679" t="s">
        <v>268</v>
      </c>
      <c r="Y679" t="s">
        <v>310</v>
      </c>
      <c r="Z679" t="s">
        <v>310</v>
      </c>
      <c r="AA679">
        <v>0</v>
      </c>
      <c r="AB679" t="s">
        <v>238</v>
      </c>
      <c r="AC679" t="s">
        <v>143</v>
      </c>
      <c r="AD679" t="s">
        <v>40</v>
      </c>
      <c r="AE679" t="str">
        <f t="shared" si="179"/>
        <v>12</v>
      </c>
      <c r="AF679" t="s">
        <v>40</v>
      </c>
    </row>
    <row r="680" spans="1:32" x14ac:dyDescent="0.25">
      <c r="A680">
        <v>5</v>
      </c>
      <c r="B680">
        <v>420</v>
      </c>
      <c r="C680" t="str">
        <f>"13"</f>
        <v>13</v>
      </c>
      <c r="D680">
        <v>6399</v>
      </c>
      <c r="E680" t="str">
        <f t="shared" si="187"/>
        <v>00</v>
      </c>
      <c r="F680" t="str">
        <f>"001"</f>
        <v>001</v>
      </c>
      <c r="G680">
        <v>5</v>
      </c>
      <c r="H680" t="str">
        <f>"11"</f>
        <v>11</v>
      </c>
      <c r="I680" t="str">
        <f t="shared" si="180"/>
        <v>0</v>
      </c>
      <c r="J680" t="str">
        <f t="shared" si="185"/>
        <v>00</v>
      </c>
      <c r="K680">
        <v>20141209</v>
      </c>
      <c r="L680" t="str">
        <f>"014623"</f>
        <v>014623</v>
      </c>
      <c r="M680" t="str">
        <f>"00793"</f>
        <v>00793</v>
      </c>
      <c r="N680" t="s">
        <v>563</v>
      </c>
      <c r="O680">
        <v>114.88</v>
      </c>
      <c r="Q680" t="s">
        <v>33</v>
      </c>
      <c r="R680" t="s">
        <v>34</v>
      </c>
      <c r="S680" t="s">
        <v>35</v>
      </c>
      <c r="T680" t="s">
        <v>35</v>
      </c>
      <c r="U680" t="s">
        <v>34</v>
      </c>
      <c r="V680" t="str">
        <f>""</f>
        <v/>
      </c>
      <c r="W680">
        <v>20141209</v>
      </c>
      <c r="X680" t="s">
        <v>390</v>
      </c>
      <c r="Y680" t="s">
        <v>564</v>
      </c>
      <c r="Z680" t="s">
        <v>564</v>
      </c>
      <c r="AA680">
        <v>0</v>
      </c>
      <c r="AB680" t="s">
        <v>142</v>
      </c>
      <c r="AC680" t="s">
        <v>41</v>
      </c>
      <c r="AD680" t="s">
        <v>40</v>
      </c>
      <c r="AE680" t="str">
        <f t="shared" si="179"/>
        <v>12</v>
      </c>
      <c r="AF680" t="s">
        <v>40</v>
      </c>
    </row>
    <row r="681" spans="1:32" x14ac:dyDescent="0.25">
      <c r="A681">
        <v>5</v>
      </c>
      <c r="B681">
        <v>420</v>
      </c>
      <c r="C681" t="str">
        <f>"13"</f>
        <v>13</v>
      </c>
      <c r="D681">
        <v>6399</v>
      </c>
      <c r="E681" t="str">
        <f t="shared" si="187"/>
        <v>00</v>
      </c>
      <c r="F681" t="str">
        <f>"001"</f>
        <v>001</v>
      </c>
      <c r="G681">
        <v>5</v>
      </c>
      <c r="H681" t="str">
        <f>"11"</f>
        <v>11</v>
      </c>
      <c r="I681" t="str">
        <f t="shared" si="180"/>
        <v>0</v>
      </c>
      <c r="J681" t="str">
        <f t="shared" si="185"/>
        <v>00</v>
      </c>
      <c r="K681">
        <v>20141209</v>
      </c>
      <c r="L681" t="str">
        <f>"014623"</f>
        <v>014623</v>
      </c>
      <c r="M681" t="str">
        <f>"00793"</f>
        <v>00793</v>
      </c>
      <c r="N681" t="s">
        <v>563</v>
      </c>
      <c r="O681">
        <v>41.63</v>
      </c>
      <c r="Q681" t="s">
        <v>33</v>
      </c>
      <c r="R681" t="s">
        <v>34</v>
      </c>
      <c r="S681" t="s">
        <v>35</v>
      </c>
      <c r="T681" t="s">
        <v>35</v>
      </c>
      <c r="U681" t="s">
        <v>34</v>
      </c>
      <c r="V681" t="str">
        <f>""</f>
        <v/>
      </c>
      <c r="W681">
        <v>20141209</v>
      </c>
      <c r="X681" t="s">
        <v>390</v>
      </c>
      <c r="Y681" t="s">
        <v>564</v>
      </c>
      <c r="Z681" t="s">
        <v>564</v>
      </c>
      <c r="AA681">
        <v>0</v>
      </c>
      <c r="AB681" t="s">
        <v>142</v>
      </c>
      <c r="AC681" t="s">
        <v>41</v>
      </c>
      <c r="AD681" t="s">
        <v>40</v>
      </c>
      <c r="AE681" t="str">
        <f t="shared" si="179"/>
        <v>12</v>
      </c>
      <c r="AF681" t="s">
        <v>40</v>
      </c>
    </row>
    <row r="682" spans="1:32" x14ac:dyDescent="0.25">
      <c r="A682">
        <v>5</v>
      </c>
      <c r="B682">
        <v>420</v>
      </c>
      <c r="C682" t="str">
        <f>"13"</f>
        <v>13</v>
      </c>
      <c r="D682">
        <v>6399</v>
      </c>
      <c r="E682" t="str">
        <f t="shared" si="187"/>
        <v>00</v>
      </c>
      <c r="F682" t="str">
        <f>"001"</f>
        <v>001</v>
      </c>
      <c r="G682">
        <v>5</v>
      </c>
      <c r="H682" t="str">
        <f>"11"</f>
        <v>11</v>
      </c>
      <c r="I682" t="str">
        <f t="shared" si="180"/>
        <v>0</v>
      </c>
      <c r="J682" t="str">
        <f t="shared" si="185"/>
        <v>00</v>
      </c>
      <c r="K682">
        <v>20141209</v>
      </c>
      <c r="L682" t="str">
        <f>"014623"</f>
        <v>014623</v>
      </c>
      <c r="M682" t="str">
        <f>"00793"</f>
        <v>00793</v>
      </c>
      <c r="N682" t="s">
        <v>563</v>
      </c>
      <c r="O682">
        <v>310.29000000000002</v>
      </c>
      <c r="Q682" t="s">
        <v>33</v>
      </c>
      <c r="R682" t="s">
        <v>34</v>
      </c>
      <c r="S682" t="s">
        <v>35</v>
      </c>
      <c r="T682" t="s">
        <v>35</v>
      </c>
      <c r="U682" t="s">
        <v>34</v>
      </c>
      <c r="V682" t="str">
        <f>""</f>
        <v/>
      </c>
      <c r="W682">
        <v>20141209</v>
      </c>
      <c r="X682" t="s">
        <v>390</v>
      </c>
      <c r="Y682" t="s">
        <v>564</v>
      </c>
      <c r="Z682" t="s">
        <v>564</v>
      </c>
      <c r="AA682">
        <v>0</v>
      </c>
      <c r="AB682" t="s">
        <v>142</v>
      </c>
      <c r="AC682" t="s">
        <v>41</v>
      </c>
      <c r="AD682" t="s">
        <v>40</v>
      </c>
      <c r="AE682" t="str">
        <f t="shared" si="179"/>
        <v>12</v>
      </c>
      <c r="AF682" t="s">
        <v>40</v>
      </c>
    </row>
    <row r="683" spans="1:32" x14ac:dyDescent="0.25">
      <c r="A683">
        <v>5</v>
      </c>
      <c r="B683">
        <v>420</v>
      </c>
      <c r="C683" t="str">
        <f>"36"</f>
        <v>36</v>
      </c>
      <c r="D683">
        <v>6499</v>
      </c>
      <c r="E683" t="str">
        <f t="shared" si="187"/>
        <v>00</v>
      </c>
      <c r="F683" t="str">
        <f>"001"</f>
        <v>001</v>
      </c>
      <c r="G683">
        <v>5</v>
      </c>
      <c r="H683" t="str">
        <f>"91"</f>
        <v>91</v>
      </c>
      <c r="I683" t="str">
        <f t="shared" si="180"/>
        <v>0</v>
      </c>
      <c r="J683" t="str">
        <f t="shared" si="185"/>
        <v>00</v>
      </c>
      <c r="K683">
        <v>20141209</v>
      </c>
      <c r="L683" t="str">
        <f>"014624"</f>
        <v>014624</v>
      </c>
      <c r="M683" t="str">
        <f>"00804"</f>
        <v>00804</v>
      </c>
      <c r="N683" t="s">
        <v>565</v>
      </c>
      <c r="O683">
        <v>175</v>
      </c>
      <c r="Q683" t="s">
        <v>33</v>
      </c>
      <c r="R683" t="s">
        <v>34</v>
      </c>
      <c r="S683" t="s">
        <v>35</v>
      </c>
      <c r="T683" t="s">
        <v>35</v>
      </c>
      <c r="U683" t="s">
        <v>34</v>
      </c>
      <c r="V683" t="str">
        <f>""</f>
        <v/>
      </c>
      <c r="W683">
        <v>20141209</v>
      </c>
      <c r="X683" t="s">
        <v>275</v>
      </c>
      <c r="Y683" t="s">
        <v>566</v>
      </c>
      <c r="Z683" t="s">
        <v>566</v>
      </c>
      <c r="AA683">
        <v>0</v>
      </c>
      <c r="AB683" t="s">
        <v>142</v>
      </c>
      <c r="AC683" t="s">
        <v>41</v>
      </c>
      <c r="AD683" t="s">
        <v>40</v>
      </c>
      <c r="AE683" t="str">
        <f t="shared" si="179"/>
        <v>12</v>
      </c>
      <c r="AF683" t="s">
        <v>40</v>
      </c>
    </row>
    <row r="684" spans="1:32" x14ac:dyDescent="0.25">
      <c r="A684">
        <v>5</v>
      </c>
      <c r="B684">
        <v>420</v>
      </c>
      <c r="C684" t="str">
        <f>"51"</f>
        <v>51</v>
      </c>
      <c r="D684">
        <v>6249</v>
      </c>
      <c r="E684" t="str">
        <f t="shared" si="187"/>
        <v>00</v>
      </c>
      <c r="F684" t="str">
        <f>"999"</f>
        <v>999</v>
      </c>
      <c r="G684">
        <v>5</v>
      </c>
      <c r="H684" t="str">
        <f>"99"</f>
        <v>99</v>
      </c>
      <c r="I684" t="str">
        <f t="shared" si="180"/>
        <v>0</v>
      </c>
      <c r="J684" t="str">
        <f t="shared" si="185"/>
        <v>00</v>
      </c>
      <c r="K684">
        <v>20141209</v>
      </c>
      <c r="L684" t="str">
        <f>"014625"</f>
        <v>014625</v>
      </c>
      <c r="M684" t="str">
        <f>"00172"</f>
        <v>00172</v>
      </c>
      <c r="N684" t="s">
        <v>313</v>
      </c>
      <c r="O684" s="1">
        <v>2000</v>
      </c>
      <c r="Q684" t="s">
        <v>33</v>
      </c>
      <c r="R684" t="s">
        <v>34</v>
      </c>
      <c r="S684" t="s">
        <v>35</v>
      </c>
      <c r="T684" t="s">
        <v>35</v>
      </c>
      <c r="U684" t="s">
        <v>34</v>
      </c>
      <c r="V684" t="str">
        <f>""</f>
        <v/>
      </c>
      <c r="W684">
        <v>20141209</v>
      </c>
      <c r="X684" t="s">
        <v>314</v>
      </c>
      <c r="Y684" t="s">
        <v>315</v>
      </c>
      <c r="Z684" t="s">
        <v>315</v>
      </c>
      <c r="AA684">
        <v>0</v>
      </c>
      <c r="AB684" t="s">
        <v>142</v>
      </c>
      <c r="AC684" t="s">
        <v>143</v>
      </c>
      <c r="AD684" t="s">
        <v>40</v>
      </c>
      <c r="AE684" t="str">
        <f t="shared" si="179"/>
        <v>12</v>
      </c>
      <c r="AF684" t="s">
        <v>40</v>
      </c>
    </row>
    <row r="685" spans="1:32" x14ac:dyDescent="0.25">
      <c r="A685">
        <v>5</v>
      </c>
      <c r="B685">
        <v>255</v>
      </c>
      <c r="C685" t="str">
        <f>"11"</f>
        <v>11</v>
      </c>
      <c r="D685">
        <v>6219</v>
      </c>
      <c r="E685" t="str">
        <f t="shared" si="187"/>
        <v>00</v>
      </c>
      <c r="F685" t="str">
        <f>"999"</f>
        <v>999</v>
      </c>
      <c r="G685">
        <v>5</v>
      </c>
      <c r="H685" t="str">
        <f>"30"</f>
        <v>30</v>
      </c>
      <c r="I685" t="str">
        <f t="shared" si="180"/>
        <v>0</v>
      </c>
      <c r="J685" t="str">
        <f t="shared" si="185"/>
        <v>00</v>
      </c>
      <c r="K685">
        <v>20141209</v>
      </c>
      <c r="L685" t="str">
        <f>"014626"</f>
        <v>014626</v>
      </c>
      <c r="M685" t="str">
        <f>"00805"</f>
        <v>00805</v>
      </c>
      <c r="N685" t="s">
        <v>567</v>
      </c>
      <c r="O685">
        <v>269</v>
      </c>
      <c r="Q685" t="s">
        <v>33</v>
      </c>
      <c r="R685" t="s">
        <v>34</v>
      </c>
      <c r="S685" t="s">
        <v>35</v>
      </c>
      <c r="T685" t="s">
        <v>35</v>
      </c>
      <c r="U685" t="s">
        <v>34</v>
      </c>
      <c r="V685" t="str">
        <f>""</f>
        <v/>
      </c>
      <c r="W685">
        <v>20141209</v>
      </c>
      <c r="X685" t="s">
        <v>177</v>
      </c>
      <c r="Y685" t="s">
        <v>568</v>
      </c>
      <c r="Z685" t="s">
        <v>568</v>
      </c>
      <c r="AA685">
        <v>0</v>
      </c>
      <c r="AB685" t="s">
        <v>178</v>
      </c>
      <c r="AC685" t="s">
        <v>143</v>
      </c>
      <c r="AD685" t="s">
        <v>40</v>
      </c>
      <c r="AE685" t="str">
        <f t="shared" si="179"/>
        <v>12</v>
      </c>
      <c r="AF685" t="s">
        <v>40</v>
      </c>
    </row>
    <row r="686" spans="1:32" x14ac:dyDescent="0.25">
      <c r="A686">
        <v>5</v>
      </c>
      <c r="B686">
        <v>255</v>
      </c>
      <c r="C686" t="str">
        <f>"11"</f>
        <v>11</v>
      </c>
      <c r="D686">
        <v>6219</v>
      </c>
      <c r="E686" t="str">
        <f t="shared" si="187"/>
        <v>00</v>
      </c>
      <c r="F686" t="str">
        <f>"999"</f>
        <v>999</v>
      </c>
      <c r="G686">
        <v>5</v>
      </c>
      <c r="H686" t="str">
        <f>"30"</f>
        <v>30</v>
      </c>
      <c r="I686" t="str">
        <f t="shared" si="180"/>
        <v>0</v>
      </c>
      <c r="J686" t="str">
        <f t="shared" si="185"/>
        <v>00</v>
      </c>
      <c r="K686">
        <v>20141209</v>
      </c>
      <c r="L686" t="str">
        <f>"014626"</f>
        <v>014626</v>
      </c>
      <c r="M686" t="str">
        <f>"00805"</f>
        <v>00805</v>
      </c>
      <c r="N686" t="s">
        <v>567</v>
      </c>
      <c r="O686">
        <v>15</v>
      </c>
      <c r="Q686" t="s">
        <v>33</v>
      </c>
      <c r="R686" t="s">
        <v>34</v>
      </c>
      <c r="S686" t="s">
        <v>35</v>
      </c>
      <c r="T686" t="s">
        <v>35</v>
      </c>
      <c r="U686" t="s">
        <v>34</v>
      </c>
      <c r="V686" t="str">
        <f>""</f>
        <v/>
      </c>
      <c r="W686">
        <v>20141209</v>
      </c>
      <c r="X686" t="s">
        <v>177</v>
      </c>
      <c r="Y686" t="s">
        <v>568</v>
      </c>
      <c r="Z686" t="s">
        <v>568</v>
      </c>
      <c r="AA686">
        <v>0</v>
      </c>
      <c r="AB686" t="s">
        <v>178</v>
      </c>
      <c r="AC686" t="s">
        <v>143</v>
      </c>
      <c r="AD686" t="s">
        <v>40</v>
      </c>
      <c r="AE686" t="str">
        <f t="shared" si="179"/>
        <v>12</v>
      </c>
      <c r="AF686" t="s">
        <v>40</v>
      </c>
    </row>
    <row r="687" spans="1:32" x14ac:dyDescent="0.25">
      <c r="A687">
        <v>5</v>
      </c>
      <c r="B687">
        <v>420</v>
      </c>
      <c r="C687" t="str">
        <f>"11"</f>
        <v>11</v>
      </c>
      <c r="D687">
        <v>6411</v>
      </c>
      <c r="E687" t="str">
        <f t="shared" si="187"/>
        <v>00</v>
      </c>
      <c r="F687" t="str">
        <f>"999"</f>
        <v>999</v>
      </c>
      <c r="G687">
        <v>5</v>
      </c>
      <c r="H687" t="str">
        <f>"11"</f>
        <v>11</v>
      </c>
      <c r="I687" t="str">
        <f t="shared" si="180"/>
        <v>0</v>
      </c>
      <c r="J687" t="str">
        <f t="shared" si="185"/>
        <v>00</v>
      </c>
      <c r="K687">
        <v>20141209</v>
      </c>
      <c r="L687" t="str">
        <f>"014626"</f>
        <v>014626</v>
      </c>
      <c r="M687" t="str">
        <f>"00805"</f>
        <v>00805</v>
      </c>
      <c r="N687" t="s">
        <v>567</v>
      </c>
      <c r="O687">
        <v>51.04</v>
      </c>
      <c r="Q687" t="s">
        <v>33</v>
      </c>
      <c r="R687" t="s">
        <v>34</v>
      </c>
      <c r="S687" t="s">
        <v>35</v>
      </c>
      <c r="T687" t="s">
        <v>35</v>
      </c>
      <c r="U687" t="s">
        <v>34</v>
      </c>
      <c r="V687" t="str">
        <f>""</f>
        <v/>
      </c>
      <c r="W687">
        <v>20141209</v>
      </c>
      <c r="X687" t="s">
        <v>328</v>
      </c>
      <c r="Y687" t="s">
        <v>568</v>
      </c>
      <c r="Z687" t="s">
        <v>568</v>
      </c>
      <c r="AA687">
        <v>0</v>
      </c>
      <c r="AB687" t="s">
        <v>142</v>
      </c>
      <c r="AC687" t="s">
        <v>143</v>
      </c>
      <c r="AD687" t="s">
        <v>40</v>
      </c>
      <c r="AE687" t="str">
        <f t="shared" si="179"/>
        <v>12</v>
      </c>
      <c r="AF687" t="s">
        <v>40</v>
      </c>
    </row>
    <row r="688" spans="1:32" x14ac:dyDescent="0.25">
      <c r="A688">
        <v>5</v>
      </c>
      <c r="B688">
        <v>211</v>
      </c>
      <c r="C688" t="str">
        <f>"11"</f>
        <v>11</v>
      </c>
      <c r="D688">
        <v>6399</v>
      </c>
      <c r="E688" t="str">
        <f t="shared" si="187"/>
        <v>00</v>
      </c>
      <c r="F688" t="str">
        <f>"101"</f>
        <v>101</v>
      </c>
      <c r="G688">
        <v>5</v>
      </c>
      <c r="H688" t="str">
        <f>"30"</f>
        <v>30</v>
      </c>
      <c r="I688" t="str">
        <f t="shared" si="180"/>
        <v>0</v>
      </c>
      <c r="J688" t="str">
        <f t="shared" si="185"/>
        <v>00</v>
      </c>
      <c r="K688">
        <v>20141209</v>
      </c>
      <c r="L688" t="str">
        <f>"014627"</f>
        <v>014627</v>
      </c>
      <c r="M688" t="str">
        <f>"00200"</f>
        <v>00200</v>
      </c>
      <c r="N688" t="s">
        <v>569</v>
      </c>
      <c r="O688">
        <v>234.53</v>
      </c>
      <c r="Q688" t="s">
        <v>33</v>
      </c>
      <c r="R688" t="s">
        <v>34</v>
      </c>
      <c r="S688" t="s">
        <v>35</v>
      </c>
      <c r="T688" t="s">
        <v>35</v>
      </c>
      <c r="U688" t="s">
        <v>34</v>
      </c>
      <c r="V688" t="str">
        <f>""</f>
        <v/>
      </c>
      <c r="W688">
        <v>20141209</v>
      </c>
      <c r="X688" t="s">
        <v>422</v>
      </c>
      <c r="Y688" t="s">
        <v>418</v>
      </c>
      <c r="Z688" t="s">
        <v>418</v>
      </c>
      <c r="AA688">
        <v>0</v>
      </c>
      <c r="AB688" t="s">
        <v>174</v>
      </c>
      <c r="AC688" t="s">
        <v>41</v>
      </c>
      <c r="AD688" t="s">
        <v>40</v>
      </c>
      <c r="AE688" t="str">
        <f t="shared" si="179"/>
        <v>12</v>
      </c>
      <c r="AF688" t="s">
        <v>40</v>
      </c>
    </row>
    <row r="689" spans="1:32" x14ac:dyDescent="0.25">
      <c r="A689">
        <v>5</v>
      </c>
      <c r="B689">
        <v>420</v>
      </c>
      <c r="C689" t="str">
        <f>"51"</f>
        <v>51</v>
      </c>
      <c r="D689">
        <v>6269</v>
      </c>
      <c r="E689" t="str">
        <f t="shared" si="187"/>
        <v>00</v>
      </c>
      <c r="F689" t="str">
        <f t="shared" ref="F689:F707" si="188">"999"</f>
        <v>999</v>
      </c>
      <c r="G689">
        <v>5</v>
      </c>
      <c r="H689" t="str">
        <f>"99"</f>
        <v>99</v>
      </c>
      <c r="I689" t="str">
        <f t="shared" si="180"/>
        <v>0</v>
      </c>
      <c r="J689" t="str">
        <f t="shared" si="185"/>
        <v>00</v>
      </c>
      <c r="K689">
        <v>20141209</v>
      </c>
      <c r="L689" t="str">
        <f>"014628"</f>
        <v>014628</v>
      </c>
      <c r="M689" t="str">
        <f>"00389"</f>
        <v>00389</v>
      </c>
      <c r="N689" t="s">
        <v>224</v>
      </c>
      <c r="O689">
        <v>135</v>
      </c>
      <c r="Q689" t="s">
        <v>33</v>
      </c>
      <c r="R689" t="s">
        <v>34</v>
      </c>
      <c r="S689" t="s">
        <v>35</v>
      </c>
      <c r="T689" t="s">
        <v>35</v>
      </c>
      <c r="U689" t="s">
        <v>34</v>
      </c>
      <c r="V689" t="str">
        <f>""</f>
        <v/>
      </c>
      <c r="W689">
        <v>20141209</v>
      </c>
      <c r="X689" t="s">
        <v>225</v>
      </c>
      <c r="Y689" t="s">
        <v>226</v>
      </c>
      <c r="Z689" t="s">
        <v>226</v>
      </c>
      <c r="AA689">
        <v>0</v>
      </c>
      <c r="AB689" t="s">
        <v>142</v>
      </c>
      <c r="AC689" t="s">
        <v>143</v>
      </c>
      <c r="AD689" t="s">
        <v>40</v>
      </c>
      <c r="AE689" t="str">
        <f t="shared" si="179"/>
        <v>12</v>
      </c>
      <c r="AF689" t="s">
        <v>40</v>
      </c>
    </row>
    <row r="690" spans="1:32" x14ac:dyDescent="0.25">
      <c r="A690">
        <v>5</v>
      </c>
      <c r="B690">
        <v>420</v>
      </c>
      <c r="C690" t="str">
        <f>"11"</f>
        <v>11</v>
      </c>
      <c r="D690">
        <v>6269</v>
      </c>
      <c r="E690" t="str">
        <f t="shared" si="187"/>
        <v>00</v>
      </c>
      <c r="F690" t="str">
        <f t="shared" si="188"/>
        <v>999</v>
      </c>
      <c r="G690">
        <v>5</v>
      </c>
      <c r="H690" t="str">
        <f>"11"</f>
        <v>11</v>
      </c>
      <c r="I690" t="str">
        <f t="shared" si="180"/>
        <v>0</v>
      </c>
      <c r="J690" t="str">
        <f t="shared" si="185"/>
        <v>00</v>
      </c>
      <c r="K690">
        <v>20141209</v>
      </c>
      <c r="L690" t="str">
        <f>"014629"</f>
        <v>014629</v>
      </c>
      <c r="M690" t="str">
        <f>"00218"</f>
        <v>00218</v>
      </c>
      <c r="N690" t="s">
        <v>230</v>
      </c>
      <c r="O690">
        <v>122.18</v>
      </c>
      <c r="Q690" t="s">
        <v>33</v>
      </c>
      <c r="R690" t="s">
        <v>34</v>
      </c>
      <c r="S690" t="s">
        <v>35</v>
      </c>
      <c r="T690" t="s">
        <v>35</v>
      </c>
      <c r="U690" t="s">
        <v>34</v>
      </c>
      <c r="V690" t="str">
        <f>""</f>
        <v/>
      </c>
      <c r="W690">
        <v>20141209</v>
      </c>
      <c r="X690" t="s">
        <v>213</v>
      </c>
      <c r="Y690" t="s">
        <v>231</v>
      </c>
      <c r="Z690" t="s">
        <v>231</v>
      </c>
      <c r="AA690">
        <v>0</v>
      </c>
      <c r="AB690" t="s">
        <v>142</v>
      </c>
      <c r="AC690" t="s">
        <v>143</v>
      </c>
      <c r="AD690" t="s">
        <v>40</v>
      </c>
      <c r="AE690" t="str">
        <f t="shared" si="179"/>
        <v>12</v>
      </c>
      <c r="AF690" t="s">
        <v>40</v>
      </c>
    </row>
    <row r="691" spans="1:32" x14ac:dyDescent="0.25">
      <c r="A691">
        <v>5</v>
      </c>
      <c r="B691">
        <v>240</v>
      </c>
      <c r="C691" t="str">
        <f t="shared" ref="C691:C699" si="189">"35"</f>
        <v>35</v>
      </c>
      <c r="D691">
        <v>6341</v>
      </c>
      <c r="E691" t="str">
        <f t="shared" si="187"/>
        <v>00</v>
      </c>
      <c r="F691" t="str">
        <f t="shared" si="188"/>
        <v>999</v>
      </c>
      <c r="G691">
        <v>5</v>
      </c>
      <c r="H691" t="str">
        <f t="shared" ref="H691:H709" si="190">"99"</f>
        <v>99</v>
      </c>
      <c r="I691" t="str">
        <f t="shared" si="180"/>
        <v>0</v>
      </c>
      <c r="J691" t="str">
        <f t="shared" si="185"/>
        <v>00</v>
      </c>
      <c r="K691">
        <v>20141209</v>
      </c>
      <c r="L691" t="str">
        <f t="shared" ref="L691:L699" si="191">"014630"</f>
        <v>014630</v>
      </c>
      <c r="M691" t="str">
        <f t="shared" ref="M691:M699" si="192">"00410"</f>
        <v>00410</v>
      </c>
      <c r="N691" t="s">
        <v>324</v>
      </c>
      <c r="O691">
        <v>197.6</v>
      </c>
      <c r="Q691" t="s">
        <v>33</v>
      </c>
      <c r="R691" t="s">
        <v>34</v>
      </c>
      <c r="S691" t="s">
        <v>35</v>
      </c>
      <c r="T691" t="s">
        <v>35</v>
      </c>
      <c r="U691" t="s">
        <v>34</v>
      </c>
      <c r="V691" t="str">
        <f>""</f>
        <v/>
      </c>
      <c r="W691">
        <v>20141209</v>
      </c>
      <c r="X691" t="s">
        <v>268</v>
      </c>
      <c r="Y691" t="s">
        <v>310</v>
      </c>
      <c r="Z691" t="s">
        <v>310</v>
      </c>
      <c r="AA691">
        <v>0</v>
      </c>
      <c r="AB691" t="s">
        <v>238</v>
      </c>
      <c r="AC691" t="s">
        <v>143</v>
      </c>
      <c r="AD691" t="s">
        <v>40</v>
      </c>
      <c r="AE691" t="str">
        <f t="shared" si="179"/>
        <v>12</v>
      </c>
      <c r="AF691" t="s">
        <v>40</v>
      </c>
    </row>
    <row r="692" spans="1:32" x14ac:dyDescent="0.25">
      <c r="A692">
        <v>5</v>
      </c>
      <c r="B692">
        <v>240</v>
      </c>
      <c r="C692" t="str">
        <f t="shared" si="189"/>
        <v>35</v>
      </c>
      <c r="D692">
        <v>6341</v>
      </c>
      <c r="E692" t="str">
        <f t="shared" si="187"/>
        <v>00</v>
      </c>
      <c r="F692" t="str">
        <f t="shared" si="188"/>
        <v>999</v>
      </c>
      <c r="G692">
        <v>5</v>
      </c>
      <c r="H692" t="str">
        <f t="shared" si="190"/>
        <v>99</v>
      </c>
      <c r="I692" t="str">
        <f t="shared" si="180"/>
        <v>0</v>
      </c>
      <c r="J692" t="str">
        <f t="shared" si="185"/>
        <v>00</v>
      </c>
      <c r="K692">
        <v>20141209</v>
      </c>
      <c r="L692" t="str">
        <f t="shared" si="191"/>
        <v>014630</v>
      </c>
      <c r="M692" t="str">
        <f t="shared" si="192"/>
        <v>00410</v>
      </c>
      <c r="N692" t="s">
        <v>324</v>
      </c>
      <c r="O692">
        <v>370.5</v>
      </c>
      <c r="Q692" t="s">
        <v>33</v>
      </c>
      <c r="R692" t="s">
        <v>34</v>
      </c>
      <c r="S692" t="s">
        <v>35</v>
      </c>
      <c r="T692" t="s">
        <v>35</v>
      </c>
      <c r="U692" t="s">
        <v>34</v>
      </c>
      <c r="V692" t="str">
        <f>""</f>
        <v/>
      </c>
      <c r="W692">
        <v>20141209</v>
      </c>
      <c r="X692" t="s">
        <v>268</v>
      </c>
      <c r="Y692" t="s">
        <v>310</v>
      </c>
      <c r="Z692" t="s">
        <v>310</v>
      </c>
      <c r="AA692">
        <v>0</v>
      </c>
      <c r="AB692" t="s">
        <v>238</v>
      </c>
      <c r="AC692" t="s">
        <v>143</v>
      </c>
      <c r="AD692" t="s">
        <v>40</v>
      </c>
      <c r="AE692" t="str">
        <f t="shared" si="179"/>
        <v>12</v>
      </c>
      <c r="AF692" t="s">
        <v>40</v>
      </c>
    </row>
    <row r="693" spans="1:32" x14ac:dyDescent="0.25">
      <c r="A693">
        <v>5</v>
      </c>
      <c r="B693">
        <v>240</v>
      </c>
      <c r="C693" t="str">
        <f t="shared" si="189"/>
        <v>35</v>
      </c>
      <c r="D693">
        <v>6341</v>
      </c>
      <c r="E693" t="str">
        <f t="shared" si="187"/>
        <v>00</v>
      </c>
      <c r="F693" t="str">
        <f t="shared" si="188"/>
        <v>999</v>
      </c>
      <c r="G693">
        <v>5</v>
      </c>
      <c r="H693" t="str">
        <f t="shared" si="190"/>
        <v>99</v>
      </c>
      <c r="I693" t="str">
        <f t="shared" si="180"/>
        <v>0</v>
      </c>
      <c r="J693" t="str">
        <f t="shared" si="185"/>
        <v>00</v>
      </c>
      <c r="K693">
        <v>20141209</v>
      </c>
      <c r="L693" t="str">
        <f t="shared" si="191"/>
        <v>014630</v>
      </c>
      <c r="M693" t="str">
        <f t="shared" si="192"/>
        <v>00410</v>
      </c>
      <c r="N693" t="s">
        <v>324</v>
      </c>
      <c r="O693">
        <v>407.55</v>
      </c>
      <c r="Q693" t="s">
        <v>33</v>
      </c>
      <c r="R693" t="s">
        <v>34</v>
      </c>
      <c r="S693" t="s">
        <v>35</v>
      </c>
      <c r="T693" t="s">
        <v>35</v>
      </c>
      <c r="U693" t="s">
        <v>34</v>
      </c>
      <c r="V693" t="str">
        <f>""</f>
        <v/>
      </c>
      <c r="W693">
        <v>20141209</v>
      </c>
      <c r="X693" t="s">
        <v>268</v>
      </c>
      <c r="Y693" t="s">
        <v>310</v>
      </c>
      <c r="Z693" t="s">
        <v>310</v>
      </c>
      <c r="AA693">
        <v>0</v>
      </c>
      <c r="AB693" t="s">
        <v>238</v>
      </c>
      <c r="AC693" t="s">
        <v>143</v>
      </c>
      <c r="AD693" t="s">
        <v>40</v>
      </c>
      <c r="AE693" t="str">
        <f t="shared" si="179"/>
        <v>12</v>
      </c>
      <c r="AF693" t="s">
        <v>40</v>
      </c>
    </row>
    <row r="694" spans="1:32" x14ac:dyDescent="0.25">
      <c r="A694">
        <v>5</v>
      </c>
      <c r="B694">
        <v>240</v>
      </c>
      <c r="C694" t="str">
        <f t="shared" si="189"/>
        <v>35</v>
      </c>
      <c r="D694">
        <v>6341</v>
      </c>
      <c r="E694" t="str">
        <f t="shared" si="187"/>
        <v>00</v>
      </c>
      <c r="F694" t="str">
        <f t="shared" si="188"/>
        <v>999</v>
      </c>
      <c r="G694">
        <v>5</v>
      </c>
      <c r="H694" t="str">
        <f t="shared" si="190"/>
        <v>99</v>
      </c>
      <c r="I694" t="str">
        <f t="shared" si="180"/>
        <v>0</v>
      </c>
      <c r="J694" t="str">
        <f t="shared" si="185"/>
        <v>00</v>
      </c>
      <c r="K694">
        <v>20141209</v>
      </c>
      <c r="L694" t="str">
        <f t="shared" si="191"/>
        <v>014630</v>
      </c>
      <c r="M694" t="str">
        <f t="shared" si="192"/>
        <v>00410</v>
      </c>
      <c r="N694" t="s">
        <v>324</v>
      </c>
      <c r="O694">
        <v>296.39999999999998</v>
      </c>
      <c r="Q694" t="s">
        <v>33</v>
      </c>
      <c r="R694" t="s">
        <v>34</v>
      </c>
      <c r="S694" t="s">
        <v>35</v>
      </c>
      <c r="T694" t="s">
        <v>35</v>
      </c>
      <c r="U694" t="s">
        <v>34</v>
      </c>
      <c r="V694" t="str">
        <f>""</f>
        <v/>
      </c>
      <c r="W694">
        <v>20141209</v>
      </c>
      <c r="X694" t="s">
        <v>268</v>
      </c>
      <c r="Y694" t="s">
        <v>310</v>
      </c>
      <c r="Z694" t="s">
        <v>310</v>
      </c>
      <c r="AA694">
        <v>0</v>
      </c>
      <c r="AB694" t="s">
        <v>238</v>
      </c>
      <c r="AC694" t="s">
        <v>143</v>
      </c>
      <c r="AD694" t="s">
        <v>40</v>
      </c>
      <c r="AE694" t="str">
        <f t="shared" si="179"/>
        <v>12</v>
      </c>
      <c r="AF694" t="s">
        <v>40</v>
      </c>
    </row>
    <row r="695" spans="1:32" x14ac:dyDescent="0.25">
      <c r="A695">
        <v>5</v>
      </c>
      <c r="B695">
        <v>240</v>
      </c>
      <c r="C695" t="str">
        <f t="shared" si="189"/>
        <v>35</v>
      </c>
      <c r="D695">
        <v>6341</v>
      </c>
      <c r="E695" t="str">
        <f t="shared" si="187"/>
        <v>00</v>
      </c>
      <c r="F695" t="str">
        <f t="shared" si="188"/>
        <v>999</v>
      </c>
      <c r="G695">
        <v>5</v>
      </c>
      <c r="H695" t="str">
        <f t="shared" si="190"/>
        <v>99</v>
      </c>
      <c r="I695" t="str">
        <f t="shared" si="180"/>
        <v>0</v>
      </c>
      <c r="J695" t="str">
        <f t="shared" si="185"/>
        <v>00</v>
      </c>
      <c r="K695">
        <v>20141209</v>
      </c>
      <c r="L695" t="str">
        <f t="shared" si="191"/>
        <v>014630</v>
      </c>
      <c r="M695" t="str">
        <f t="shared" si="192"/>
        <v>00410</v>
      </c>
      <c r="N695" t="s">
        <v>324</v>
      </c>
      <c r="O695">
        <v>345.8</v>
      </c>
      <c r="Q695" t="s">
        <v>33</v>
      </c>
      <c r="R695" t="s">
        <v>34</v>
      </c>
      <c r="S695" t="s">
        <v>35</v>
      </c>
      <c r="T695" t="s">
        <v>35</v>
      </c>
      <c r="U695" t="s">
        <v>34</v>
      </c>
      <c r="V695" t="str">
        <f>""</f>
        <v/>
      </c>
      <c r="W695">
        <v>20141209</v>
      </c>
      <c r="X695" t="s">
        <v>268</v>
      </c>
      <c r="Y695" t="s">
        <v>310</v>
      </c>
      <c r="Z695" t="s">
        <v>310</v>
      </c>
      <c r="AA695">
        <v>0</v>
      </c>
      <c r="AB695" t="s">
        <v>238</v>
      </c>
      <c r="AC695" t="s">
        <v>143</v>
      </c>
      <c r="AD695" t="s">
        <v>40</v>
      </c>
      <c r="AE695" t="str">
        <f t="shared" si="179"/>
        <v>12</v>
      </c>
      <c r="AF695" t="s">
        <v>40</v>
      </c>
    </row>
    <row r="696" spans="1:32" x14ac:dyDescent="0.25">
      <c r="A696">
        <v>5</v>
      </c>
      <c r="B696">
        <v>240</v>
      </c>
      <c r="C696" t="str">
        <f t="shared" si="189"/>
        <v>35</v>
      </c>
      <c r="D696">
        <v>6341</v>
      </c>
      <c r="E696" t="str">
        <f t="shared" si="187"/>
        <v>00</v>
      </c>
      <c r="F696" t="str">
        <f t="shared" si="188"/>
        <v>999</v>
      </c>
      <c r="G696">
        <v>5</v>
      </c>
      <c r="H696" t="str">
        <f t="shared" si="190"/>
        <v>99</v>
      </c>
      <c r="I696" t="str">
        <f t="shared" si="180"/>
        <v>0</v>
      </c>
      <c r="J696" t="str">
        <f t="shared" si="185"/>
        <v>00</v>
      </c>
      <c r="K696">
        <v>20141209</v>
      </c>
      <c r="L696" t="str">
        <f t="shared" si="191"/>
        <v>014630</v>
      </c>
      <c r="M696" t="str">
        <f t="shared" si="192"/>
        <v>00410</v>
      </c>
      <c r="N696" t="s">
        <v>324</v>
      </c>
      <c r="O696">
        <v>395.2</v>
      </c>
      <c r="Q696" t="s">
        <v>33</v>
      </c>
      <c r="R696" t="s">
        <v>34</v>
      </c>
      <c r="S696" t="s">
        <v>35</v>
      </c>
      <c r="T696" t="s">
        <v>35</v>
      </c>
      <c r="U696" t="s">
        <v>34</v>
      </c>
      <c r="V696" t="str">
        <f>""</f>
        <v/>
      </c>
      <c r="W696">
        <v>20141209</v>
      </c>
      <c r="X696" t="s">
        <v>268</v>
      </c>
      <c r="Y696" t="s">
        <v>310</v>
      </c>
      <c r="Z696" t="s">
        <v>310</v>
      </c>
      <c r="AA696">
        <v>0</v>
      </c>
      <c r="AB696" t="s">
        <v>238</v>
      </c>
      <c r="AC696" t="s">
        <v>143</v>
      </c>
      <c r="AD696" t="s">
        <v>40</v>
      </c>
      <c r="AE696" t="str">
        <f t="shared" si="179"/>
        <v>12</v>
      </c>
      <c r="AF696" t="s">
        <v>40</v>
      </c>
    </row>
    <row r="697" spans="1:32" x14ac:dyDescent="0.25">
      <c r="A697">
        <v>5</v>
      </c>
      <c r="B697">
        <v>240</v>
      </c>
      <c r="C697" t="str">
        <f t="shared" si="189"/>
        <v>35</v>
      </c>
      <c r="D697">
        <v>6341</v>
      </c>
      <c r="E697" t="str">
        <f t="shared" si="187"/>
        <v>00</v>
      </c>
      <c r="F697" t="str">
        <f t="shared" si="188"/>
        <v>999</v>
      </c>
      <c r="G697">
        <v>5</v>
      </c>
      <c r="H697" t="str">
        <f t="shared" si="190"/>
        <v>99</v>
      </c>
      <c r="I697" t="str">
        <f t="shared" si="180"/>
        <v>0</v>
      </c>
      <c r="J697" t="str">
        <f t="shared" si="185"/>
        <v>00</v>
      </c>
      <c r="K697">
        <v>20141209</v>
      </c>
      <c r="L697" t="str">
        <f t="shared" si="191"/>
        <v>014630</v>
      </c>
      <c r="M697" t="str">
        <f t="shared" si="192"/>
        <v>00410</v>
      </c>
      <c r="N697" t="s">
        <v>324</v>
      </c>
      <c r="O697">
        <v>345.8</v>
      </c>
      <c r="Q697" t="s">
        <v>33</v>
      </c>
      <c r="R697" t="s">
        <v>34</v>
      </c>
      <c r="S697" t="s">
        <v>35</v>
      </c>
      <c r="T697" t="s">
        <v>35</v>
      </c>
      <c r="U697" t="s">
        <v>34</v>
      </c>
      <c r="V697" t="str">
        <f>""</f>
        <v/>
      </c>
      <c r="W697">
        <v>20141209</v>
      </c>
      <c r="X697" t="s">
        <v>268</v>
      </c>
      <c r="Y697" t="s">
        <v>310</v>
      </c>
      <c r="Z697" t="s">
        <v>310</v>
      </c>
      <c r="AA697">
        <v>0</v>
      </c>
      <c r="AB697" t="s">
        <v>238</v>
      </c>
      <c r="AC697" t="s">
        <v>143</v>
      </c>
      <c r="AD697" t="s">
        <v>40</v>
      </c>
      <c r="AE697" t="str">
        <f t="shared" si="179"/>
        <v>12</v>
      </c>
      <c r="AF697" t="s">
        <v>40</v>
      </c>
    </row>
    <row r="698" spans="1:32" x14ac:dyDescent="0.25">
      <c r="A698">
        <v>5</v>
      </c>
      <c r="B698">
        <v>240</v>
      </c>
      <c r="C698" t="str">
        <f t="shared" si="189"/>
        <v>35</v>
      </c>
      <c r="D698">
        <v>6341</v>
      </c>
      <c r="E698" t="str">
        <f t="shared" si="187"/>
        <v>00</v>
      </c>
      <c r="F698" t="str">
        <f t="shared" si="188"/>
        <v>999</v>
      </c>
      <c r="G698">
        <v>5</v>
      </c>
      <c r="H698" t="str">
        <f t="shared" si="190"/>
        <v>99</v>
      </c>
      <c r="I698" t="str">
        <f t="shared" si="180"/>
        <v>0</v>
      </c>
      <c r="J698" t="str">
        <f t="shared" si="185"/>
        <v>00</v>
      </c>
      <c r="K698">
        <v>20141209</v>
      </c>
      <c r="L698" t="str">
        <f t="shared" si="191"/>
        <v>014630</v>
      </c>
      <c r="M698" t="str">
        <f t="shared" si="192"/>
        <v>00410</v>
      </c>
      <c r="N698" t="s">
        <v>324</v>
      </c>
      <c r="O698">
        <v>358.15</v>
      </c>
      <c r="Q698" t="s">
        <v>33</v>
      </c>
      <c r="R698" t="s">
        <v>34</v>
      </c>
      <c r="S698" t="s">
        <v>35</v>
      </c>
      <c r="T698" t="s">
        <v>35</v>
      </c>
      <c r="U698" t="s">
        <v>34</v>
      </c>
      <c r="V698" t="str">
        <f>""</f>
        <v/>
      </c>
      <c r="W698">
        <v>20141209</v>
      </c>
      <c r="X698" t="s">
        <v>268</v>
      </c>
      <c r="Y698" t="s">
        <v>310</v>
      </c>
      <c r="Z698" t="s">
        <v>310</v>
      </c>
      <c r="AA698">
        <v>0</v>
      </c>
      <c r="AB698" t="s">
        <v>238</v>
      </c>
      <c r="AC698" t="s">
        <v>143</v>
      </c>
      <c r="AD698" t="s">
        <v>40</v>
      </c>
      <c r="AE698" t="str">
        <f t="shared" si="179"/>
        <v>12</v>
      </c>
      <c r="AF698" t="s">
        <v>40</v>
      </c>
    </row>
    <row r="699" spans="1:32" x14ac:dyDescent="0.25">
      <c r="A699">
        <v>5</v>
      </c>
      <c r="B699">
        <v>240</v>
      </c>
      <c r="C699" t="str">
        <f t="shared" si="189"/>
        <v>35</v>
      </c>
      <c r="D699">
        <v>6341</v>
      </c>
      <c r="E699" t="str">
        <f t="shared" si="187"/>
        <v>00</v>
      </c>
      <c r="F699" t="str">
        <f t="shared" si="188"/>
        <v>999</v>
      </c>
      <c r="G699">
        <v>5</v>
      </c>
      <c r="H699" t="str">
        <f t="shared" si="190"/>
        <v>99</v>
      </c>
      <c r="I699" t="str">
        <f t="shared" si="180"/>
        <v>0</v>
      </c>
      <c r="J699" t="str">
        <f t="shared" si="185"/>
        <v>00</v>
      </c>
      <c r="K699">
        <v>20141209</v>
      </c>
      <c r="L699" t="str">
        <f t="shared" si="191"/>
        <v>014630</v>
      </c>
      <c r="M699" t="str">
        <f t="shared" si="192"/>
        <v>00410</v>
      </c>
      <c r="N699" t="s">
        <v>324</v>
      </c>
      <c r="O699">
        <v>518.70000000000005</v>
      </c>
      <c r="Q699" t="s">
        <v>33</v>
      </c>
      <c r="R699" t="s">
        <v>34</v>
      </c>
      <c r="S699" t="s">
        <v>35</v>
      </c>
      <c r="T699" t="s">
        <v>35</v>
      </c>
      <c r="U699" t="s">
        <v>34</v>
      </c>
      <c r="V699" t="str">
        <f>""</f>
        <v/>
      </c>
      <c r="W699">
        <v>20141209</v>
      </c>
      <c r="X699" t="s">
        <v>268</v>
      </c>
      <c r="Y699" t="s">
        <v>310</v>
      </c>
      <c r="Z699" t="s">
        <v>310</v>
      </c>
      <c r="AA699">
        <v>0</v>
      </c>
      <c r="AB699" t="s">
        <v>238</v>
      </c>
      <c r="AC699" t="s">
        <v>143</v>
      </c>
      <c r="AD699" t="s">
        <v>40</v>
      </c>
      <c r="AE699" t="str">
        <f t="shared" si="179"/>
        <v>12</v>
      </c>
      <c r="AF699" t="s">
        <v>40</v>
      </c>
    </row>
    <row r="700" spans="1:32" x14ac:dyDescent="0.25">
      <c r="A700">
        <v>5</v>
      </c>
      <c r="B700">
        <v>420</v>
      </c>
      <c r="C700" t="str">
        <f>"51"</f>
        <v>51</v>
      </c>
      <c r="D700">
        <v>6259</v>
      </c>
      <c r="E700" t="str">
        <f>"50"</f>
        <v>50</v>
      </c>
      <c r="F700" t="str">
        <f t="shared" si="188"/>
        <v>999</v>
      </c>
      <c r="G700">
        <v>5</v>
      </c>
      <c r="H700" t="str">
        <f t="shared" si="190"/>
        <v>99</v>
      </c>
      <c r="I700" t="str">
        <f t="shared" si="180"/>
        <v>0</v>
      </c>
      <c r="J700" t="str">
        <f t="shared" si="185"/>
        <v>00</v>
      </c>
      <c r="K700">
        <v>20141209</v>
      </c>
      <c r="L700" t="str">
        <f>"014631"</f>
        <v>014631</v>
      </c>
      <c r="M700" t="str">
        <f>"00162"</f>
        <v>00162</v>
      </c>
      <c r="N700" t="s">
        <v>242</v>
      </c>
      <c r="O700">
        <v>690.14</v>
      </c>
      <c r="Q700" t="s">
        <v>33</v>
      </c>
      <c r="R700" t="s">
        <v>34</v>
      </c>
      <c r="S700" t="s">
        <v>35</v>
      </c>
      <c r="T700" t="s">
        <v>35</v>
      </c>
      <c r="U700" t="s">
        <v>34</v>
      </c>
      <c r="V700" t="str">
        <f>""</f>
        <v/>
      </c>
      <c r="W700">
        <v>20141209</v>
      </c>
      <c r="X700" t="s">
        <v>374</v>
      </c>
      <c r="Y700" t="s">
        <v>375</v>
      </c>
      <c r="Z700" t="s">
        <v>375</v>
      </c>
      <c r="AA700">
        <v>0</v>
      </c>
      <c r="AB700" t="s">
        <v>142</v>
      </c>
      <c r="AC700" t="s">
        <v>143</v>
      </c>
      <c r="AD700" t="s">
        <v>40</v>
      </c>
      <c r="AE700" t="str">
        <f t="shared" si="179"/>
        <v>12</v>
      </c>
      <c r="AF700" t="s">
        <v>40</v>
      </c>
    </row>
    <row r="701" spans="1:32" x14ac:dyDescent="0.25">
      <c r="A701">
        <v>5</v>
      </c>
      <c r="B701">
        <v>240</v>
      </c>
      <c r="C701" t="str">
        <f>"35"</f>
        <v>35</v>
      </c>
      <c r="D701">
        <v>6341</v>
      </c>
      <c r="E701" t="str">
        <f>"00"</f>
        <v>00</v>
      </c>
      <c r="F701" t="str">
        <f t="shared" si="188"/>
        <v>999</v>
      </c>
      <c r="G701">
        <v>5</v>
      </c>
      <c r="H701" t="str">
        <f t="shared" si="190"/>
        <v>99</v>
      </c>
      <c r="I701" t="str">
        <f t="shared" si="180"/>
        <v>0</v>
      </c>
      <c r="J701" t="str">
        <f t="shared" si="185"/>
        <v>00</v>
      </c>
      <c r="K701">
        <v>20141209</v>
      </c>
      <c r="L701" t="str">
        <f>"014632"</f>
        <v>014632</v>
      </c>
      <c r="M701" t="str">
        <f>"00391"</f>
        <v>00391</v>
      </c>
      <c r="N701" t="s">
        <v>265</v>
      </c>
      <c r="O701" s="1">
        <v>1969.92</v>
      </c>
      <c r="Q701" t="s">
        <v>33</v>
      </c>
      <c r="R701" t="s">
        <v>34</v>
      </c>
      <c r="S701" t="s">
        <v>35</v>
      </c>
      <c r="T701" t="s">
        <v>35</v>
      </c>
      <c r="U701" t="s">
        <v>34</v>
      </c>
      <c r="V701" t="str">
        <f>""</f>
        <v/>
      </c>
      <c r="W701">
        <v>20141209</v>
      </c>
      <c r="X701" t="s">
        <v>268</v>
      </c>
      <c r="Y701" t="s">
        <v>310</v>
      </c>
      <c r="Z701" t="s">
        <v>310</v>
      </c>
      <c r="AA701">
        <v>0</v>
      </c>
      <c r="AB701" t="s">
        <v>238</v>
      </c>
      <c r="AC701" t="s">
        <v>143</v>
      </c>
      <c r="AD701" t="s">
        <v>40</v>
      </c>
      <c r="AE701" t="str">
        <f t="shared" si="179"/>
        <v>12</v>
      </c>
      <c r="AF701" t="s">
        <v>40</v>
      </c>
    </row>
    <row r="702" spans="1:32" x14ac:dyDescent="0.25">
      <c r="A702">
        <v>5</v>
      </c>
      <c r="B702">
        <v>240</v>
      </c>
      <c r="C702" t="str">
        <f>"35"</f>
        <v>35</v>
      </c>
      <c r="D702">
        <v>6341</v>
      </c>
      <c r="E702" t="str">
        <f>"00"</f>
        <v>00</v>
      </c>
      <c r="F702" t="str">
        <f t="shared" si="188"/>
        <v>999</v>
      </c>
      <c r="G702">
        <v>5</v>
      </c>
      <c r="H702" t="str">
        <f t="shared" si="190"/>
        <v>99</v>
      </c>
      <c r="I702" t="str">
        <f t="shared" si="180"/>
        <v>0</v>
      </c>
      <c r="J702" t="str">
        <f t="shared" si="185"/>
        <v>00</v>
      </c>
      <c r="K702">
        <v>20141209</v>
      </c>
      <c r="L702" t="str">
        <f>"014632"</f>
        <v>014632</v>
      </c>
      <c r="M702" t="str">
        <f>"00391"</f>
        <v>00391</v>
      </c>
      <c r="N702" t="s">
        <v>265</v>
      </c>
      <c r="O702">
        <v>344.84</v>
      </c>
      <c r="Q702" t="s">
        <v>33</v>
      </c>
      <c r="R702" t="s">
        <v>34</v>
      </c>
      <c r="S702" t="s">
        <v>35</v>
      </c>
      <c r="T702" t="s">
        <v>35</v>
      </c>
      <c r="U702" t="s">
        <v>34</v>
      </c>
      <c r="V702" t="str">
        <f>""</f>
        <v/>
      </c>
      <c r="W702">
        <v>20141209</v>
      </c>
      <c r="X702" t="s">
        <v>268</v>
      </c>
      <c r="Y702" t="s">
        <v>310</v>
      </c>
      <c r="Z702" t="s">
        <v>310</v>
      </c>
      <c r="AA702">
        <v>0</v>
      </c>
      <c r="AB702" t="s">
        <v>238</v>
      </c>
      <c r="AC702" t="s">
        <v>143</v>
      </c>
      <c r="AD702" t="s">
        <v>40</v>
      </c>
      <c r="AE702" t="str">
        <f t="shared" si="179"/>
        <v>12</v>
      </c>
      <c r="AF702" t="s">
        <v>40</v>
      </c>
    </row>
    <row r="703" spans="1:32" x14ac:dyDescent="0.25">
      <c r="A703">
        <v>5</v>
      </c>
      <c r="B703">
        <v>420</v>
      </c>
      <c r="C703" t="str">
        <f>"51"</f>
        <v>51</v>
      </c>
      <c r="D703">
        <v>6259</v>
      </c>
      <c r="E703" t="str">
        <f>"54"</f>
        <v>54</v>
      </c>
      <c r="F703" t="str">
        <f t="shared" si="188"/>
        <v>999</v>
      </c>
      <c r="G703">
        <v>5</v>
      </c>
      <c r="H703" t="str">
        <f t="shared" si="190"/>
        <v>99</v>
      </c>
      <c r="I703" t="str">
        <f t="shared" si="180"/>
        <v>0</v>
      </c>
      <c r="J703" t="str">
        <f t="shared" si="185"/>
        <v>00</v>
      </c>
      <c r="K703">
        <v>20141209</v>
      </c>
      <c r="L703" t="str">
        <f>"014633"</f>
        <v>014633</v>
      </c>
      <c r="M703" t="str">
        <f>"00581"</f>
        <v>00581</v>
      </c>
      <c r="N703" t="s">
        <v>248</v>
      </c>
      <c r="O703">
        <v>481.41</v>
      </c>
      <c r="Q703" t="s">
        <v>33</v>
      </c>
      <c r="R703" t="s">
        <v>34</v>
      </c>
      <c r="S703" t="s">
        <v>35</v>
      </c>
      <c r="T703" t="s">
        <v>35</v>
      </c>
      <c r="U703" t="s">
        <v>34</v>
      </c>
      <c r="V703" t="str">
        <f>""</f>
        <v/>
      </c>
      <c r="W703">
        <v>20141209</v>
      </c>
      <c r="X703" t="s">
        <v>216</v>
      </c>
      <c r="Y703" t="s">
        <v>217</v>
      </c>
      <c r="Z703" t="s">
        <v>217</v>
      </c>
      <c r="AA703">
        <v>0</v>
      </c>
      <c r="AB703" t="s">
        <v>142</v>
      </c>
      <c r="AC703" t="s">
        <v>143</v>
      </c>
      <c r="AD703" t="s">
        <v>40</v>
      </c>
      <c r="AE703" t="str">
        <f t="shared" si="179"/>
        <v>12</v>
      </c>
      <c r="AF703" t="s">
        <v>40</v>
      </c>
    </row>
    <row r="704" spans="1:32" x14ac:dyDescent="0.25">
      <c r="A704">
        <v>5</v>
      </c>
      <c r="B704">
        <v>420</v>
      </c>
      <c r="C704" t="str">
        <f>"51"</f>
        <v>51</v>
      </c>
      <c r="D704">
        <v>6269</v>
      </c>
      <c r="E704" t="str">
        <f t="shared" ref="E704:E735" si="193">"00"</f>
        <v>00</v>
      </c>
      <c r="F704" t="str">
        <f t="shared" si="188"/>
        <v>999</v>
      </c>
      <c r="G704">
        <v>5</v>
      </c>
      <c r="H704" t="str">
        <f t="shared" si="190"/>
        <v>99</v>
      </c>
      <c r="I704" t="str">
        <f t="shared" si="180"/>
        <v>0</v>
      </c>
      <c r="J704" t="str">
        <f t="shared" si="185"/>
        <v>00</v>
      </c>
      <c r="K704">
        <v>20141209</v>
      </c>
      <c r="L704" t="str">
        <f>"014634"</f>
        <v>014634</v>
      </c>
      <c r="M704" t="str">
        <f>"00668"</f>
        <v>00668</v>
      </c>
      <c r="N704" t="s">
        <v>249</v>
      </c>
      <c r="O704">
        <v>195.5</v>
      </c>
      <c r="Q704" t="s">
        <v>33</v>
      </c>
      <c r="R704" t="s">
        <v>34</v>
      </c>
      <c r="S704" t="s">
        <v>35</v>
      </c>
      <c r="T704" t="s">
        <v>35</v>
      </c>
      <c r="U704" t="s">
        <v>34</v>
      </c>
      <c r="V704" t="str">
        <f>""</f>
        <v/>
      </c>
      <c r="W704">
        <v>20141209</v>
      </c>
      <c r="X704" t="s">
        <v>225</v>
      </c>
      <c r="Y704" t="s">
        <v>250</v>
      </c>
      <c r="Z704" t="s">
        <v>250</v>
      </c>
      <c r="AA704">
        <v>0</v>
      </c>
      <c r="AB704" t="s">
        <v>142</v>
      </c>
      <c r="AC704" t="s">
        <v>143</v>
      </c>
      <c r="AD704" t="s">
        <v>40</v>
      </c>
      <c r="AE704" t="str">
        <f t="shared" ref="AE704:AE767" si="194">"12"</f>
        <v>12</v>
      </c>
      <c r="AF704" t="s">
        <v>40</v>
      </c>
    </row>
    <row r="705" spans="1:32" x14ac:dyDescent="0.25">
      <c r="A705">
        <v>5</v>
      </c>
      <c r="B705">
        <v>240</v>
      </c>
      <c r="C705" t="str">
        <f>"35"</f>
        <v>35</v>
      </c>
      <c r="D705">
        <v>6299</v>
      </c>
      <c r="E705" t="str">
        <f t="shared" si="193"/>
        <v>00</v>
      </c>
      <c r="F705" t="str">
        <f t="shared" si="188"/>
        <v>999</v>
      </c>
      <c r="G705">
        <v>5</v>
      </c>
      <c r="H705" t="str">
        <f t="shared" si="190"/>
        <v>99</v>
      </c>
      <c r="I705" t="str">
        <f t="shared" si="180"/>
        <v>0</v>
      </c>
      <c r="J705" t="str">
        <f t="shared" si="185"/>
        <v>00</v>
      </c>
      <c r="K705">
        <v>20141209</v>
      </c>
      <c r="L705" t="str">
        <f>"014635"</f>
        <v>014635</v>
      </c>
      <c r="M705" t="str">
        <f>"00577"</f>
        <v>00577</v>
      </c>
      <c r="N705" t="s">
        <v>251</v>
      </c>
      <c r="O705">
        <v>39.04</v>
      </c>
      <c r="Q705" t="s">
        <v>33</v>
      </c>
      <c r="R705" t="s">
        <v>34</v>
      </c>
      <c r="S705" t="s">
        <v>35</v>
      </c>
      <c r="T705" t="s">
        <v>35</v>
      </c>
      <c r="U705" t="s">
        <v>34</v>
      </c>
      <c r="V705" t="str">
        <f>""</f>
        <v/>
      </c>
      <c r="W705">
        <v>20141209</v>
      </c>
      <c r="X705" t="s">
        <v>252</v>
      </c>
      <c r="Y705" t="s">
        <v>253</v>
      </c>
      <c r="Z705" t="s">
        <v>253</v>
      </c>
      <c r="AA705">
        <v>0</v>
      </c>
      <c r="AB705" t="s">
        <v>238</v>
      </c>
      <c r="AC705" t="s">
        <v>143</v>
      </c>
      <c r="AD705" t="s">
        <v>40</v>
      </c>
      <c r="AE705" t="str">
        <f t="shared" si="194"/>
        <v>12</v>
      </c>
      <c r="AF705" t="s">
        <v>40</v>
      </c>
    </row>
    <row r="706" spans="1:32" x14ac:dyDescent="0.25">
      <c r="A706">
        <v>5</v>
      </c>
      <c r="B706">
        <v>240</v>
      </c>
      <c r="C706" t="str">
        <f>"35"</f>
        <v>35</v>
      </c>
      <c r="D706">
        <v>6299</v>
      </c>
      <c r="E706" t="str">
        <f t="shared" si="193"/>
        <v>00</v>
      </c>
      <c r="F706" t="str">
        <f t="shared" si="188"/>
        <v>999</v>
      </c>
      <c r="G706">
        <v>5</v>
      </c>
      <c r="H706" t="str">
        <f t="shared" si="190"/>
        <v>99</v>
      </c>
      <c r="I706" t="str">
        <f t="shared" ref="I706:I769" si="195">"0"</f>
        <v>0</v>
      </c>
      <c r="J706" t="str">
        <f t="shared" si="185"/>
        <v>00</v>
      </c>
      <c r="K706">
        <v>20141209</v>
      </c>
      <c r="L706" t="str">
        <f>"014635"</f>
        <v>014635</v>
      </c>
      <c r="M706" t="str">
        <f>"00577"</f>
        <v>00577</v>
      </c>
      <c r="N706" t="s">
        <v>251</v>
      </c>
      <c r="O706">
        <v>39.04</v>
      </c>
      <c r="Q706" t="s">
        <v>33</v>
      </c>
      <c r="R706" t="s">
        <v>34</v>
      </c>
      <c r="S706" t="s">
        <v>35</v>
      </c>
      <c r="T706" t="s">
        <v>35</v>
      </c>
      <c r="U706" t="s">
        <v>34</v>
      </c>
      <c r="V706" t="str">
        <f>""</f>
        <v/>
      </c>
      <c r="W706">
        <v>20141209</v>
      </c>
      <c r="X706" t="s">
        <v>252</v>
      </c>
      <c r="Y706" t="s">
        <v>253</v>
      </c>
      <c r="Z706" t="s">
        <v>253</v>
      </c>
      <c r="AA706">
        <v>0</v>
      </c>
      <c r="AB706" t="s">
        <v>238</v>
      </c>
      <c r="AC706" t="s">
        <v>143</v>
      </c>
      <c r="AD706" t="s">
        <v>40</v>
      </c>
      <c r="AE706" t="str">
        <f t="shared" si="194"/>
        <v>12</v>
      </c>
      <c r="AF706" t="s">
        <v>40</v>
      </c>
    </row>
    <row r="707" spans="1:32" x14ac:dyDescent="0.25">
      <c r="A707">
        <v>5</v>
      </c>
      <c r="B707">
        <v>420</v>
      </c>
      <c r="C707" t="str">
        <f>"51"</f>
        <v>51</v>
      </c>
      <c r="D707">
        <v>6299</v>
      </c>
      <c r="E707" t="str">
        <f t="shared" si="193"/>
        <v>00</v>
      </c>
      <c r="F707" t="str">
        <f t="shared" si="188"/>
        <v>999</v>
      </c>
      <c r="G707">
        <v>5</v>
      </c>
      <c r="H707" t="str">
        <f t="shared" si="190"/>
        <v>99</v>
      </c>
      <c r="I707" t="str">
        <f t="shared" si="195"/>
        <v>0</v>
      </c>
      <c r="J707" t="str">
        <f t="shared" si="185"/>
        <v>00</v>
      </c>
      <c r="K707">
        <v>20141209</v>
      </c>
      <c r="L707" t="str">
        <f>"014635"</f>
        <v>014635</v>
      </c>
      <c r="M707" t="str">
        <f>"00577"</f>
        <v>00577</v>
      </c>
      <c r="N707" t="s">
        <v>251</v>
      </c>
      <c r="O707">
        <v>63.72</v>
      </c>
      <c r="Q707" t="s">
        <v>33</v>
      </c>
      <c r="R707" t="s">
        <v>34</v>
      </c>
      <c r="S707" t="s">
        <v>35</v>
      </c>
      <c r="T707" t="s">
        <v>35</v>
      </c>
      <c r="U707" t="s">
        <v>34</v>
      </c>
      <c r="V707" t="str">
        <f>""</f>
        <v/>
      </c>
      <c r="W707">
        <v>20141209</v>
      </c>
      <c r="X707" t="s">
        <v>203</v>
      </c>
      <c r="Y707" t="s">
        <v>253</v>
      </c>
      <c r="Z707" t="s">
        <v>253</v>
      </c>
      <c r="AA707">
        <v>0</v>
      </c>
      <c r="AB707" t="s">
        <v>142</v>
      </c>
      <c r="AC707" t="s">
        <v>143</v>
      </c>
      <c r="AD707" t="s">
        <v>40</v>
      </c>
      <c r="AE707" t="str">
        <f t="shared" si="194"/>
        <v>12</v>
      </c>
      <c r="AF707" t="s">
        <v>40</v>
      </c>
    </row>
    <row r="708" spans="1:32" x14ac:dyDescent="0.25">
      <c r="A708">
        <v>5</v>
      </c>
      <c r="B708">
        <v>420</v>
      </c>
      <c r="C708" t="str">
        <f>"41"</f>
        <v>41</v>
      </c>
      <c r="D708">
        <v>6499</v>
      </c>
      <c r="E708" t="str">
        <f t="shared" si="193"/>
        <v>00</v>
      </c>
      <c r="F708" t="str">
        <f>"750"</f>
        <v>750</v>
      </c>
      <c r="G708">
        <v>5</v>
      </c>
      <c r="H708" t="str">
        <f t="shared" si="190"/>
        <v>99</v>
      </c>
      <c r="I708" t="str">
        <f t="shared" si="195"/>
        <v>0</v>
      </c>
      <c r="J708" t="str">
        <f t="shared" si="185"/>
        <v>00</v>
      </c>
      <c r="K708">
        <v>20141209</v>
      </c>
      <c r="L708" t="str">
        <f>"014636"</f>
        <v>014636</v>
      </c>
      <c r="M708" t="str">
        <f>"00444"</f>
        <v>00444</v>
      </c>
      <c r="N708" t="s">
        <v>41</v>
      </c>
      <c r="O708">
        <v>45</v>
      </c>
      <c r="Q708" t="s">
        <v>33</v>
      </c>
      <c r="R708" t="s">
        <v>34</v>
      </c>
      <c r="S708" t="s">
        <v>35</v>
      </c>
      <c r="T708" t="s">
        <v>35</v>
      </c>
      <c r="U708" t="s">
        <v>34</v>
      </c>
      <c r="V708" t="str">
        <f>""</f>
        <v/>
      </c>
      <c r="W708">
        <v>20141209</v>
      </c>
      <c r="X708" t="s">
        <v>168</v>
      </c>
      <c r="Y708" t="s">
        <v>570</v>
      </c>
      <c r="Z708" t="s">
        <v>570</v>
      </c>
      <c r="AA708">
        <v>0</v>
      </c>
      <c r="AB708" t="s">
        <v>142</v>
      </c>
      <c r="AC708" t="s">
        <v>170</v>
      </c>
      <c r="AD708" t="s">
        <v>40</v>
      </c>
      <c r="AE708" t="str">
        <f t="shared" si="194"/>
        <v>12</v>
      </c>
      <c r="AF708" t="s">
        <v>40</v>
      </c>
    </row>
    <row r="709" spans="1:32" x14ac:dyDescent="0.25">
      <c r="A709">
        <v>5</v>
      </c>
      <c r="B709">
        <v>420</v>
      </c>
      <c r="C709" t="str">
        <f>"34"</f>
        <v>34</v>
      </c>
      <c r="D709">
        <v>6513</v>
      </c>
      <c r="E709" t="str">
        <f t="shared" si="193"/>
        <v>00</v>
      </c>
      <c r="F709" t="str">
        <f>"999"</f>
        <v>999</v>
      </c>
      <c r="G709">
        <v>5</v>
      </c>
      <c r="H709" t="str">
        <f t="shared" si="190"/>
        <v>99</v>
      </c>
      <c r="I709" t="str">
        <f t="shared" si="195"/>
        <v>0</v>
      </c>
      <c r="J709" t="str">
        <f t="shared" si="185"/>
        <v>00</v>
      </c>
      <c r="K709">
        <v>20141209</v>
      </c>
      <c r="L709" t="str">
        <f>"014637"</f>
        <v>014637</v>
      </c>
      <c r="M709" t="str">
        <f>"00520"</f>
        <v>00520</v>
      </c>
      <c r="N709" t="s">
        <v>329</v>
      </c>
      <c r="O709" s="1">
        <v>1715.42</v>
      </c>
      <c r="Q709" t="s">
        <v>33</v>
      </c>
      <c r="R709" t="s">
        <v>34</v>
      </c>
      <c r="S709" t="s">
        <v>35</v>
      </c>
      <c r="T709" t="s">
        <v>35</v>
      </c>
      <c r="U709" t="s">
        <v>34</v>
      </c>
      <c r="V709" t="str">
        <f>""</f>
        <v/>
      </c>
      <c r="W709">
        <v>20141209</v>
      </c>
      <c r="X709" t="s">
        <v>330</v>
      </c>
      <c r="Y709" t="s">
        <v>571</v>
      </c>
      <c r="Z709" t="s">
        <v>571</v>
      </c>
      <c r="AA709">
        <v>0</v>
      </c>
      <c r="AB709" t="s">
        <v>142</v>
      </c>
      <c r="AC709" t="s">
        <v>143</v>
      </c>
      <c r="AD709" t="s">
        <v>40</v>
      </c>
      <c r="AE709" t="str">
        <f t="shared" si="194"/>
        <v>12</v>
      </c>
      <c r="AF709" t="s">
        <v>40</v>
      </c>
    </row>
    <row r="710" spans="1:32" x14ac:dyDescent="0.25">
      <c r="A710">
        <v>5</v>
      </c>
      <c r="B710">
        <v>420</v>
      </c>
      <c r="C710" t="str">
        <f>"00"</f>
        <v>00</v>
      </c>
      <c r="D710">
        <v>2153</v>
      </c>
      <c r="E710" t="str">
        <f t="shared" si="193"/>
        <v>00</v>
      </c>
      <c r="F710" t="str">
        <f>"008"</f>
        <v>008</v>
      </c>
      <c r="G710">
        <v>5</v>
      </c>
      <c r="H710" t="str">
        <f>"00"</f>
        <v>00</v>
      </c>
      <c r="I710" t="str">
        <f t="shared" si="195"/>
        <v>0</v>
      </c>
      <c r="J710" t="str">
        <f t="shared" si="185"/>
        <v>00</v>
      </c>
      <c r="K710">
        <v>20141211</v>
      </c>
      <c r="L710" t="str">
        <f>"014638"</f>
        <v>014638</v>
      </c>
      <c r="M710" t="str">
        <f>"00012"</f>
        <v>00012</v>
      </c>
      <c r="N710" t="s">
        <v>279</v>
      </c>
      <c r="O710">
        <v>152.53</v>
      </c>
      <c r="Q710" t="s">
        <v>33</v>
      </c>
      <c r="R710" t="s">
        <v>34</v>
      </c>
      <c r="S710" t="s">
        <v>35</v>
      </c>
      <c r="T710" t="s">
        <v>35</v>
      </c>
      <c r="U710" t="s">
        <v>34</v>
      </c>
      <c r="V710" t="str">
        <f>""</f>
        <v/>
      </c>
      <c r="W710">
        <v>20141211</v>
      </c>
      <c r="X710" t="s">
        <v>280</v>
      </c>
      <c r="Y710" t="s">
        <v>538</v>
      </c>
      <c r="Z710" t="s">
        <v>538</v>
      </c>
      <c r="AA710">
        <v>0</v>
      </c>
      <c r="AB710" t="s">
        <v>142</v>
      </c>
      <c r="AC710" t="s">
        <v>282</v>
      </c>
      <c r="AD710" t="s">
        <v>144</v>
      </c>
      <c r="AE710" t="str">
        <f t="shared" si="194"/>
        <v>12</v>
      </c>
      <c r="AF710" t="s">
        <v>40</v>
      </c>
    </row>
    <row r="711" spans="1:32" x14ac:dyDescent="0.25">
      <c r="A711">
        <v>5</v>
      </c>
      <c r="B711">
        <v>420</v>
      </c>
      <c r="C711" t="str">
        <f>"00"</f>
        <v>00</v>
      </c>
      <c r="D711">
        <v>2159</v>
      </c>
      <c r="E711" t="str">
        <f t="shared" si="193"/>
        <v>00</v>
      </c>
      <c r="F711" t="str">
        <f>"009"</f>
        <v>009</v>
      </c>
      <c r="G711">
        <v>5</v>
      </c>
      <c r="H711" t="str">
        <f>"00"</f>
        <v>00</v>
      </c>
      <c r="I711" t="str">
        <f t="shared" si="195"/>
        <v>0</v>
      </c>
      <c r="J711" t="str">
        <f t="shared" si="185"/>
        <v>00</v>
      </c>
      <c r="K711">
        <v>20141211</v>
      </c>
      <c r="L711" t="str">
        <f>"014638"</f>
        <v>014638</v>
      </c>
      <c r="M711" t="str">
        <f>"00012"</f>
        <v>00012</v>
      </c>
      <c r="N711" t="s">
        <v>279</v>
      </c>
      <c r="O711">
        <v>673.52</v>
      </c>
      <c r="Q711" t="s">
        <v>33</v>
      </c>
      <c r="R711" t="s">
        <v>34</v>
      </c>
      <c r="S711" t="s">
        <v>35</v>
      </c>
      <c r="T711" t="s">
        <v>35</v>
      </c>
      <c r="U711" t="s">
        <v>34</v>
      </c>
      <c r="V711" t="str">
        <f>""</f>
        <v/>
      </c>
      <c r="W711">
        <v>20141211</v>
      </c>
      <c r="X711" t="s">
        <v>283</v>
      </c>
      <c r="Y711" t="s">
        <v>572</v>
      </c>
      <c r="Z711" t="s">
        <v>572</v>
      </c>
      <c r="AA711">
        <v>0</v>
      </c>
      <c r="AB711" t="s">
        <v>142</v>
      </c>
      <c r="AC711" t="s">
        <v>285</v>
      </c>
      <c r="AD711" t="s">
        <v>144</v>
      </c>
      <c r="AE711" t="str">
        <f t="shared" si="194"/>
        <v>12</v>
      </c>
      <c r="AF711" t="s">
        <v>40</v>
      </c>
    </row>
    <row r="712" spans="1:32" x14ac:dyDescent="0.25">
      <c r="A712">
        <v>5</v>
      </c>
      <c r="B712">
        <v>420</v>
      </c>
      <c r="C712" t="str">
        <f>"00"</f>
        <v>00</v>
      </c>
      <c r="D712">
        <v>2159</v>
      </c>
      <c r="E712" t="str">
        <f t="shared" si="193"/>
        <v>00</v>
      </c>
      <c r="F712" t="str">
        <f>"150"</f>
        <v>150</v>
      </c>
      <c r="G712">
        <v>5</v>
      </c>
      <c r="H712" t="str">
        <f>"00"</f>
        <v>00</v>
      </c>
      <c r="I712" t="str">
        <f t="shared" si="195"/>
        <v>0</v>
      </c>
      <c r="J712" t="str">
        <f t="shared" si="185"/>
        <v>00</v>
      </c>
      <c r="K712">
        <v>20141211</v>
      </c>
      <c r="L712" t="str">
        <f>"014639"</f>
        <v>014639</v>
      </c>
      <c r="M712" t="str">
        <f>"00355"</f>
        <v>00355</v>
      </c>
      <c r="N712" t="s">
        <v>295</v>
      </c>
      <c r="O712">
        <v>417.16</v>
      </c>
      <c r="Q712" t="s">
        <v>33</v>
      </c>
      <c r="R712" t="s">
        <v>34</v>
      </c>
      <c r="S712" t="s">
        <v>35</v>
      </c>
      <c r="T712" t="s">
        <v>35</v>
      </c>
      <c r="U712" t="s">
        <v>34</v>
      </c>
      <c r="V712" t="str">
        <f>""</f>
        <v/>
      </c>
      <c r="W712">
        <v>20141211</v>
      </c>
      <c r="X712" t="s">
        <v>296</v>
      </c>
      <c r="Y712" t="s">
        <v>539</v>
      </c>
      <c r="Z712" t="s">
        <v>539</v>
      </c>
      <c r="AA712">
        <v>0</v>
      </c>
      <c r="AB712" t="s">
        <v>142</v>
      </c>
      <c r="AC712" t="s">
        <v>297</v>
      </c>
      <c r="AD712" t="s">
        <v>144</v>
      </c>
      <c r="AE712" t="str">
        <f t="shared" si="194"/>
        <v>12</v>
      </c>
      <c r="AF712" t="s">
        <v>40</v>
      </c>
    </row>
    <row r="713" spans="1:32" x14ac:dyDescent="0.25">
      <c r="A713">
        <v>5</v>
      </c>
      <c r="B713">
        <v>420</v>
      </c>
      <c r="C713" t="str">
        <f>"11"</f>
        <v>11</v>
      </c>
      <c r="D713">
        <v>6269</v>
      </c>
      <c r="E713" t="str">
        <f t="shared" si="193"/>
        <v>00</v>
      </c>
      <c r="F713" t="str">
        <f>"999"</f>
        <v>999</v>
      </c>
      <c r="G713">
        <v>5</v>
      </c>
      <c r="H713" t="str">
        <f>"11"</f>
        <v>11</v>
      </c>
      <c r="I713" t="str">
        <f t="shared" si="195"/>
        <v>0</v>
      </c>
      <c r="J713" t="str">
        <f t="shared" si="185"/>
        <v>00</v>
      </c>
      <c r="K713">
        <v>20141216</v>
      </c>
      <c r="L713" t="str">
        <f>"014640"</f>
        <v>014640</v>
      </c>
      <c r="M713" t="str">
        <f>"00628"</f>
        <v>00628</v>
      </c>
      <c r="N713" t="s">
        <v>212</v>
      </c>
      <c r="O713">
        <v>339.38</v>
      </c>
      <c r="Q713" t="s">
        <v>33</v>
      </c>
      <c r="R713" t="s">
        <v>34</v>
      </c>
      <c r="S713" t="s">
        <v>35</v>
      </c>
      <c r="T713" t="s">
        <v>35</v>
      </c>
      <c r="U713" t="s">
        <v>34</v>
      </c>
      <c r="V713" t="str">
        <f>""</f>
        <v/>
      </c>
      <c r="W713">
        <v>20141210</v>
      </c>
      <c r="X713" t="s">
        <v>213</v>
      </c>
      <c r="Y713" t="s">
        <v>543</v>
      </c>
      <c r="Z713" t="s">
        <v>543</v>
      </c>
      <c r="AA713">
        <v>0</v>
      </c>
      <c r="AB713" t="s">
        <v>142</v>
      </c>
      <c r="AC713" t="s">
        <v>143</v>
      </c>
      <c r="AD713" t="s">
        <v>40</v>
      </c>
      <c r="AE713" t="str">
        <f t="shared" si="194"/>
        <v>12</v>
      </c>
      <c r="AF713" t="s">
        <v>40</v>
      </c>
    </row>
    <row r="714" spans="1:32" x14ac:dyDescent="0.25">
      <c r="A714">
        <v>5</v>
      </c>
      <c r="B714">
        <v>240</v>
      </c>
      <c r="C714" t="str">
        <f>"35"</f>
        <v>35</v>
      </c>
      <c r="D714">
        <v>6341</v>
      </c>
      <c r="E714" t="str">
        <f t="shared" si="193"/>
        <v>00</v>
      </c>
      <c r="F714" t="str">
        <f>"999"</f>
        <v>999</v>
      </c>
      <c r="G714">
        <v>5</v>
      </c>
      <c r="H714" t="str">
        <f>"99"</f>
        <v>99</v>
      </c>
      <c r="I714" t="str">
        <f t="shared" si="195"/>
        <v>0</v>
      </c>
      <c r="J714" t="str">
        <f t="shared" si="185"/>
        <v>00</v>
      </c>
      <c r="K714">
        <v>20141216</v>
      </c>
      <c r="L714" t="str">
        <f>"014641"</f>
        <v>014641</v>
      </c>
      <c r="M714" t="str">
        <f>"00048"</f>
        <v>00048</v>
      </c>
      <c r="N714" t="s">
        <v>309</v>
      </c>
      <c r="O714">
        <v>111.24</v>
      </c>
      <c r="Q714" t="s">
        <v>33</v>
      </c>
      <c r="R714" t="s">
        <v>34</v>
      </c>
      <c r="S714" t="s">
        <v>35</v>
      </c>
      <c r="T714" t="s">
        <v>35</v>
      </c>
      <c r="U714" t="s">
        <v>34</v>
      </c>
      <c r="V714" t="str">
        <f>""</f>
        <v/>
      </c>
      <c r="W714">
        <v>20141216</v>
      </c>
      <c r="X714" t="s">
        <v>268</v>
      </c>
      <c r="Y714" t="s">
        <v>573</v>
      </c>
      <c r="Z714" t="s">
        <v>573</v>
      </c>
      <c r="AA714">
        <v>0</v>
      </c>
      <c r="AB714" t="s">
        <v>238</v>
      </c>
      <c r="AC714" t="s">
        <v>143</v>
      </c>
      <c r="AD714" t="s">
        <v>40</v>
      </c>
      <c r="AE714" t="str">
        <f t="shared" si="194"/>
        <v>12</v>
      </c>
      <c r="AF714" t="s">
        <v>40</v>
      </c>
    </row>
    <row r="715" spans="1:32" x14ac:dyDescent="0.25">
      <c r="A715">
        <v>5</v>
      </c>
      <c r="B715">
        <v>420</v>
      </c>
      <c r="C715" t="str">
        <f>"36"</f>
        <v>36</v>
      </c>
      <c r="D715">
        <v>6412</v>
      </c>
      <c r="E715" t="str">
        <f t="shared" si="193"/>
        <v>00</v>
      </c>
      <c r="F715" t="str">
        <f>"001"</f>
        <v>001</v>
      </c>
      <c r="G715">
        <v>5</v>
      </c>
      <c r="H715" t="str">
        <f>"91"</f>
        <v>91</v>
      </c>
      <c r="I715" t="str">
        <f t="shared" si="195"/>
        <v>0</v>
      </c>
      <c r="J715" t="str">
        <f t="shared" si="185"/>
        <v>00</v>
      </c>
      <c r="K715">
        <v>20141216</v>
      </c>
      <c r="L715" t="str">
        <f>"014642"</f>
        <v>014642</v>
      </c>
      <c r="M715" t="str">
        <f>"00516"</f>
        <v>00516</v>
      </c>
      <c r="N715" t="s">
        <v>139</v>
      </c>
      <c r="O715">
        <v>285.89999999999998</v>
      </c>
      <c r="Q715" t="s">
        <v>33</v>
      </c>
      <c r="R715" t="s">
        <v>34</v>
      </c>
      <c r="S715" t="s">
        <v>35</v>
      </c>
      <c r="T715" t="s">
        <v>35</v>
      </c>
      <c r="U715" t="s">
        <v>34</v>
      </c>
      <c r="V715" t="str">
        <f>""</f>
        <v/>
      </c>
      <c r="W715">
        <v>20141216</v>
      </c>
      <c r="X715" t="s">
        <v>574</v>
      </c>
      <c r="Y715" t="s">
        <v>575</v>
      </c>
      <c r="Z715" t="s">
        <v>575</v>
      </c>
      <c r="AA715">
        <v>0</v>
      </c>
      <c r="AB715" t="s">
        <v>142</v>
      </c>
      <c r="AC715" t="s">
        <v>41</v>
      </c>
      <c r="AD715" t="s">
        <v>40</v>
      </c>
      <c r="AE715" t="str">
        <f t="shared" si="194"/>
        <v>12</v>
      </c>
      <c r="AF715" t="s">
        <v>40</v>
      </c>
    </row>
    <row r="716" spans="1:32" x14ac:dyDescent="0.25">
      <c r="A716">
        <v>5</v>
      </c>
      <c r="B716">
        <v>240</v>
      </c>
      <c r="C716" t="str">
        <f>"35"</f>
        <v>35</v>
      </c>
      <c r="D716">
        <v>6349</v>
      </c>
      <c r="E716" t="str">
        <f t="shared" si="193"/>
        <v>00</v>
      </c>
      <c r="F716" t="str">
        <f t="shared" ref="F716:F734" si="196">"999"</f>
        <v>999</v>
      </c>
      <c r="G716">
        <v>5</v>
      </c>
      <c r="H716" t="str">
        <f t="shared" ref="H716:H734" si="197">"99"</f>
        <v>99</v>
      </c>
      <c r="I716" t="str">
        <f t="shared" si="195"/>
        <v>0</v>
      </c>
      <c r="J716" t="str">
        <f t="shared" si="185"/>
        <v>00</v>
      </c>
      <c r="K716">
        <v>20141216</v>
      </c>
      <c r="L716" t="str">
        <f>"014643"</f>
        <v>014643</v>
      </c>
      <c r="M716" t="str">
        <f>"00408"</f>
        <v>00408</v>
      </c>
      <c r="N716" t="s">
        <v>576</v>
      </c>
      <c r="O716">
        <v>173.24</v>
      </c>
      <c r="Q716" t="s">
        <v>33</v>
      </c>
      <c r="R716" t="s">
        <v>34</v>
      </c>
      <c r="S716" t="s">
        <v>35</v>
      </c>
      <c r="T716" t="s">
        <v>35</v>
      </c>
      <c r="U716" t="s">
        <v>34</v>
      </c>
      <c r="V716" t="str">
        <f>""</f>
        <v/>
      </c>
      <c r="W716">
        <v>20141216</v>
      </c>
      <c r="X716" t="s">
        <v>236</v>
      </c>
      <c r="Y716" t="s">
        <v>577</v>
      </c>
      <c r="Z716" t="s">
        <v>577</v>
      </c>
      <c r="AA716">
        <v>0</v>
      </c>
      <c r="AB716" t="s">
        <v>238</v>
      </c>
      <c r="AC716" t="s">
        <v>143</v>
      </c>
      <c r="AD716" t="s">
        <v>40</v>
      </c>
      <c r="AE716" t="str">
        <f t="shared" si="194"/>
        <v>12</v>
      </c>
      <c r="AF716" t="s">
        <v>40</v>
      </c>
    </row>
    <row r="717" spans="1:32" x14ac:dyDescent="0.25">
      <c r="A717">
        <v>5</v>
      </c>
      <c r="B717">
        <v>420</v>
      </c>
      <c r="C717" t="str">
        <f>"51"</f>
        <v>51</v>
      </c>
      <c r="D717">
        <v>6319</v>
      </c>
      <c r="E717" t="str">
        <f t="shared" si="193"/>
        <v>00</v>
      </c>
      <c r="F717" t="str">
        <f t="shared" si="196"/>
        <v>999</v>
      </c>
      <c r="G717">
        <v>5</v>
      </c>
      <c r="H717" t="str">
        <f t="shared" si="197"/>
        <v>99</v>
      </c>
      <c r="I717" t="str">
        <f t="shared" si="195"/>
        <v>0</v>
      </c>
      <c r="J717" t="str">
        <f t="shared" si="185"/>
        <v>00</v>
      </c>
      <c r="K717">
        <v>20141216</v>
      </c>
      <c r="L717" t="str">
        <f>"014644"</f>
        <v>014644</v>
      </c>
      <c r="M717" t="str">
        <f>"00687"</f>
        <v>00687</v>
      </c>
      <c r="N717" t="s">
        <v>337</v>
      </c>
      <c r="O717">
        <v>800</v>
      </c>
      <c r="Q717" t="s">
        <v>33</v>
      </c>
      <c r="R717" t="s">
        <v>34</v>
      </c>
      <c r="S717" t="s">
        <v>35</v>
      </c>
      <c r="T717" t="s">
        <v>35</v>
      </c>
      <c r="U717" t="s">
        <v>34</v>
      </c>
      <c r="V717" t="str">
        <f>""</f>
        <v/>
      </c>
      <c r="W717">
        <v>20141210</v>
      </c>
      <c r="X717" t="s">
        <v>185</v>
      </c>
      <c r="Y717" t="s">
        <v>578</v>
      </c>
      <c r="Z717" t="s">
        <v>578</v>
      </c>
      <c r="AA717">
        <v>0</v>
      </c>
      <c r="AB717" t="s">
        <v>142</v>
      </c>
      <c r="AC717" t="s">
        <v>143</v>
      </c>
      <c r="AD717" t="s">
        <v>40</v>
      </c>
      <c r="AE717" t="str">
        <f t="shared" si="194"/>
        <v>12</v>
      </c>
      <c r="AF717" t="s">
        <v>40</v>
      </c>
    </row>
    <row r="718" spans="1:32" x14ac:dyDescent="0.25">
      <c r="A718">
        <v>5</v>
      </c>
      <c r="B718">
        <v>420</v>
      </c>
      <c r="C718" t="str">
        <f>"51"</f>
        <v>51</v>
      </c>
      <c r="D718">
        <v>6249</v>
      </c>
      <c r="E718" t="str">
        <f t="shared" si="193"/>
        <v>00</v>
      </c>
      <c r="F718" t="str">
        <f t="shared" si="196"/>
        <v>999</v>
      </c>
      <c r="G718">
        <v>5</v>
      </c>
      <c r="H718" t="str">
        <f t="shared" si="197"/>
        <v>99</v>
      </c>
      <c r="I718" t="str">
        <f t="shared" si="195"/>
        <v>0</v>
      </c>
      <c r="J718" t="str">
        <f t="shared" si="185"/>
        <v>00</v>
      </c>
      <c r="K718">
        <v>20141216</v>
      </c>
      <c r="L718" t="str">
        <f>"014645"</f>
        <v>014645</v>
      </c>
      <c r="M718" t="str">
        <f>"00756"</f>
        <v>00756</v>
      </c>
      <c r="N718" t="s">
        <v>339</v>
      </c>
      <c r="O718">
        <v>520</v>
      </c>
      <c r="Q718" t="s">
        <v>33</v>
      </c>
      <c r="R718" t="s">
        <v>34</v>
      </c>
      <c r="S718" t="s">
        <v>35</v>
      </c>
      <c r="T718" t="s">
        <v>35</v>
      </c>
      <c r="U718" t="s">
        <v>34</v>
      </c>
      <c r="V718" t="str">
        <f>""</f>
        <v/>
      </c>
      <c r="W718">
        <v>20141216</v>
      </c>
      <c r="X718" t="s">
        <v>314</v>
      </c>
      <c r="Y718" t="s">
        <v>579</v>
      </c>
      <c r="Z718" t="s">
        <v>579</v>
      </c>
      <c r="AA718">
        <v>0</v>
      </c>
      <c r="AB718" t="s">
        <v>142</v>
      </c>
      <c r="AC718" t="s">
        <v>143</v>
      </c>
      <c r="AD718" t="s">
        <v>40</v>
      </c>
      <c r="AE718" t="str">
        <f t="shared" si="194"/>
        <v>12</v>
      </c>
      <c r="AF718" t="s">
        <v>40</v>
      </c>
    </row>
    <row r="719" spans="1:32" x14ac:dyDescent="0.25">
      <c r="A719">
        <v>5</v>
      </c>
      <c r="B719">
        <v>240</v>
      </c>
      <c r="C719" t="str">
        <f>"35"</f>
        <v>35</v>
      </c>
      <c r="D719">
        <v>6341</v>
      </c>
      <c r="E719" t="str">
        <f t="shared" si="193"/>
        <v>00</v>
      </c>
      <c r="F719" t="str">
        <f t="shared" si="196"/>
        <v>999</v>
      </c>
      <c r="G719">
        <v>5</v>
      </c>
      <c r="H719" t="str">
        <f t="shared" si="197"/>
        <v>99</v>
      </c>
      <c r="I719" t="str">
        <f t="shared" si="195"/>
        <v>0</v>
      </c>
      <c r="J719" t="str">
        <f t="shared" si="185"/>
        <v>00</v>
      </c>
      <c r="K719">
        <v>20141216</v>
      </c>
      <c r="L719" t="str">
        <f>"014646"</f>
        <v>014646</v>
      </c>
      <c r="M719" t="str">
        <f>"00806"</f>
        <v>00806</v>
      </c>
      <c r="N719" t="s">
        <v>580</v>
      </c>
      <c r="O719">
        <v>472.88</v>
      </c>
      <c r="Q719" t="s">
        <v>33</v>
      </c>
      <c r="R719" t="s">
        <v>34</v>
      </c>
      <c r="S719" t="s">
        <v>35</v>
      </c>
      <c r="T719" t="s">
        <v>35</v>
      </c>
      <c r="U719" t="s">
        <v>34</v>
      </c>
      <c r="V719" t="str">
        <f>""</f>
        <v/>
      </c>
      <c r="W719">
        <v>20141210</v>
      </c>
      <c r="X719" t="s">
        <v>268</v>
      </c>
      <c r="Y719" t="s">
        <v>573</v>
      </c>
      <c r="Z719" t="s">
        <v>573</v>
      </c>
      <c r="AA719">
        <v>0</v>
      </c>
      <c r="AB719" t="s">
        <v>238</v>
      </c>
      <c r="AC719" t="s">
        <v>143</v>
      </c>
      <c r="AD719" t="s">
        <v>40</v>
      </c>
      <c r="AE719" t="str">
        <f t="shared" si="194"/>
        <v>12</v>
      </c>
      <c r="AF719" t="s">
        <v>40</v>
      </c>
    </row>
    <row r="720" spans="1:32" x14ac:dyDescent="0.25">
      <c r="A720">
        <v>5</v>
      </c>
      <c r="B720">
        <v>420</v>
      </c>
      <c r="C720" t="str">
        <f t="shared" ref="C720:C734" si="198">"51"</f>
        <v>51</v>
      </c>
      <c r="D720">
        <v>6319</v>
      </c>
      <c r="E720" t="str">
        <f t="shared" si="193"/>
        <v>00</v>
      </c>
      <c r="F720" t="str">
        <f t="shared" si="196"/>
        <v>999</v>
      </c>
      <c r="G720">
        <v>5</v>
      </c>
      <c r="H720" t="str">
        <f t="shared" si="197"/>
        <v>99</v>
      </c>
      <c r="I720" t="str">
        <f t="shared" si="195"/>
        <v>0</v>
      </c>
      <c r="J720" t="str">
        <f t="shared" si="185"/>
        <v>00</v>
      </c>
      <c r="K720">
        <v>20141216</v>
      </c>
      <c r="L720" t="str">
        <f t="shared" ref="L720:L734" si="199">"014647"</f>
        <v>014647</v>
      </c>
      <c r="M720" t="str">
        <f t="shared" ref="M720:M734" si="200">"00152"</f>
        <v>00152</v>
      </c>
      <c r="N720" t="s">
        <v>413</v>
      </c>
      <c r="O720">
        <v>28.28</v>
      </c>
      <c r="Q720" t="s">
        <v>33</v>
      </c>
      <c r="R720" t="s">
        <v>34</v>
      </c>
      <c r="S720" t="s">
        <v>35</v>
      </c>
      <c r="T720" t="s">
        <v>35</v>
      </c>
      <c r="U720" t="s">
        <v>34</v>
      </c>
      <c r="V720" t="str">
        <f>""</f>
        <v/>
      </c>
      <c r="W720">
        <v>20141211</v>
      </c>
      <c r="X720" t="s">
        <v>185</v>
      </c>
      <c r="Y720" t="s">
        <v>581</v>
      </c>
      <c r="Z720" t="s">
        <v>581</v>
      </c>
      <c r="AA720">
        <v>0</v>
      </c>
      <c r="AB720" t="s">
        <v>142</v>
      </c>
      <c r="AC720" t="s">
        <v>143</v>
      </c>
      <c r="AD720" t="s">
        <v>40</v>
      </c>
      <c r="AE720" t="str">
        <f t="shared" si="194"/>
        <v>12</v>
      </c>
      <c r="AF720" t="s">
        <v>40</v>
      </c>
    </row>
    <row r="721" spans="1:32" x14ac:dyDescent="0.25">
      <c r="A721">
        <v>5</v>
      </c>
      <c r="B721">
        <v>420</v>
      </c>
      <c r="C721" t="str">
        <f t="shared" si="198"/>
        <v>51</v>
      </c>
      <c r="D721">
        <v>6319</v>
      </c>
      <c r="E721" t="str">
        <f t="shared" si="193"/>
        <v>00</v>
      </c>
      <c r="F721" t="str">
        <f t="shared" si="196"/>
        <v>999</v>
      </c>
      <c r="G721">
        <v>5</v>
      </c>
      <c r="H721" t="str">
        <f t="shared" si="197"/>
        <v>99</v>
      </c>
      <c r="I721" t="str">
        <f t="shared" si="195"/>
        <v>0</v>
      </c>
      <c r="J721" t="str">
        <f t="shared" si="185"/>
        <v>00</v>
      </c>
      <c r="K721">
        <v>20141216</v>
      </c>
      <c r="L721" t="str">
        <f t="shared" si="199"/>
        <v>014647</v>
      </c>
      <c r="M721" t="str">
        <f t="shared" si="200"/>
        <v>00152</v>
      </c>
      <c r="N721" t="s">
        <v>413</v>
      </c>
      <c r="O721">
        <v>437.86</v>
      </c>
      <c r="Q721" t="s">
        <v>33</v>
      </c>
      <c r="R721" t="s">
        <v>34</v>
      </c>
      <c r="S721" t="s">
        <v>35</v>
      </c>
      <c r="T721" t="s">
        <v>35</v>
      </c>
      <c r="U721" t="s">
        <v>34</v>
      </c>
      <c r="V721" t="str">
        <f>""</f>
        <v/>
      </c>
      <c r="W721">
        <v>20141211</v>
      </c>
      <c r="X721" t="s">
        <v>185</v>
      </c>
      <c r="Y721" t="s">
        <v>581</v>
      </c>
      <c r="Z721" t="s">
        <v>581</v>
      </c>
      <c r="AA721">
        <v>0</v>
      </c>
      <c r="AB721" t="s">
        <v>142</v>
      </c>
      <c r="AC721" t="s">
        <v>143</v>
      </c>
      <c r="AD721" t="s">
        <v>40</v>
      </c>
      <c r="AE721" t="str">
        <f t="shared" si="194"/>
        <v>12</v>
      </c>
      <c r="AF721" t="s">
        <v>40</v>
      </c>
    </row>
    <row r="722" spans="1:32" x14ac:dyDescent="0.25">
      <c r="A722">
        <v>5</v>
      </c>
      <c r="B722">
        <v>420</v>
      </c>
      <c r="C722" t="str">
        <f t="shared" si="198"/>
        <v>51</v>
      </c>
      <c r="D722">
        <v>6319</v>
      </c>
      <c r="E722" t="str">
        <f t="shared" si="193"/>
        <v>00</v>
      </c>
      <c r="F722" t="str">
        <f t="shared" si="196"/>
        <v>999</v>
      </c>
      <c r="G722">
        <v>5</v>
      </c>
      <c r="H722" t="str">
        <f t="shared" si="197"/>
        <v>99</v>
      </c>
      <c r="I722" t="str">
        <f t="shared" si="195"/>
        <v>0</v>
      </c>
      <c r="J722" t="str">
        <f t="shared" si="185"/>
        <v>00</v>
      </c>
      <c r="K722">
        <v>20141216</v>
      </c>
      <c r="L722" t="str">
        <f t="shared" si="199"/>
        <v>014647</v>
      </c>
      <c r="M722" t="str">
        <f t="shared" si="200"/>
        <v>00152</v>
      </c>
      <c r="N722" t="s">
        <v>413</v>
      </c>
      <c r="O722">
        <v>217.57</v>
      </c>
      <c r="Q722" t="s">
        <v>33</v>
      </c>
      <c r="R722" t="s">
        <v>34</v>
      </c>
      <c r="S722" t="s">
        <v>35</v>
      </c>
      <c r="T722" t="s">
        <v>35</v>
      </c>
      <c r="U722" t="s">
        <v>34</v>
      </c>
      <c r="V722" t="str">
        <f>""</f>
        <v/>
      </c>
      <c r="W722">
        <v>20141211</v>
      </c>
      <c r="X722" t="s">
        <v>185</v>
      </c>
      <c r="Y722" t="s">
        <v>581</v>
      </c>
      <c r="Z722" t="s">
        <v>581</v>
      </c>
      <c r="AA722">
        <v>0</v>
      </c>
      <c r="AB722" t="s">
        <v>142</v>
      </c>
      <c r="AC722" t="s">
        <v>143</v>
      </c>
      <c r="AD722" t="s">
        <v>40</v>
      </c>
      <c r="AE722" t="str">
        <f t="shared" si="194"/>
        <v>12</v>
      </c>
      <c r="AF722" t="s">
        <v>40</v>
      </c>
    </row>
    <row r="723" spans="1:32" x14ac:dyDescent="0.25">
      <c r="A723">
        <v>5</v>
      </c>
      <c r="B723">
        <v>420</v>
      </c>
      <c r="C723" t="str">
        <f t="shared" si="198"/>
        <v>51</v>
      </c>
      <c r="D723">
        <v>6319</v>
      </c>
      <c r="E723" t="str">
        <f t="shared" si="193"/>
        <v>00</v>
      </c>
      <c r="F723" t="str">
        <f t="shared" si="196"/>
        <v>999</v>
      </c>
      <c r="G723">
        <v>5</v>
      </c>
      <c r="H723" t="str">
        <f t="shared" si="197"/>
        <v>99</v>
      </c>
      <c r="I723" t="str">
        <f t="shared" si="195"/>
        <v>0</v>
      </c>
      <c r="J723" t="str">
        <f t="shared" si="185"/>
        <v>00</v>
      </c>
      <c r="K723">
        <v>20141216</v>
      </c>
      <c r="L723" t="str">
        <f t="shared" si="199"/>
        <v>014647</v>
      </c>
      <c r="M723" t="str">
        <f t="shared" si="200"/>
        <v>00152</v>
      </c>
      <c r="N723" t="s">
        <v>413</v>
      </c>
      <c r="O723">
        <v>38.75</v>
      </c>
      <c r="Q723" t="s">
        <v>33</v>
      </c>
      <c r="R723" t="s">
        <v>34</v>
      </c>
      <c r="S723" t="s">
        <v>35</v>
      </c>
      <c r="T723" t="s">
        <v>35</v>
      </c>
      <c r="U723" t="s">
        <v>34</v>
      </c>
      <c r="V723" t="str">
        <f>""</f>
        <v/>
      </c>
      <c r="W723">
        <v>20141211</v>
      </c>
      <c r="X723" t="s">
        <v>185</v>
      </c>
      <c r="Y723" t="s">
        <v>581</v>
      </c>
      <c r="Z723" t="s">
        <v>581</v>
      </c>
      <c r="AA723">
        <v>0</v>
      </c>
      <c r="AB723" t="s">
        <v>142</v>
      </c>
      <c r="AC723" t="s">
        <v>143</v>
      </c>
      <c r="AD723" t="s">
        <v>40</v>
      </c>
      <c r="AE723" t="str">
        <f t="shared" si="194"/>
        <v>12</v>
      </c>
      <c r="AF723" t="s">
        <v>40</v>
      </c>
    </row>
    <row r="724" spans="1:32" x14ac:dyDescent="0.25">
      <c r="A724">
        <v>5</v>
      </c>
      <c r="B724">
        <v>420</v>
      </c>
      <c r="C724" t="str">
        <f t="shared" si="198"/>
        <v>51</v>
      </c>
      <c r="D724">
        <v>6319</v>
      </c>
      <c r="E724" t="str">
        <f t="shared" si="193"/>
        <v>00</v>
      </c>
      <c r="F724" t="str">
        <f t="shared" si="196"/>
        <v>999</v>
      </c>
      <c r="G724">
        <v>5</v>
      </c>
      <c r="H724" t="str">
        <f t="shared" si="197"/>
        <v>99</v>
      </c>
      <c r="I724" t="str">
        <f t="shared" si="195"/>
        <v>0</v>
      </c>
      <c r="J724" t="str">
        <f t="shared" si="185"/>
        <v>00</v>
      </c>
      <c r="K724">
        <v>20141216</v>
      </c>
      <c r="L724" t="str">
        <f t="shared" si="199"/>
        <v>014647</v>
      </c>
      <c r="M724" t="str">
        <f t="shared" si="200"/>
        <v>00152</v>
      </c>
      <c r="N724" t="s">
        <v>413</v>
      </c>
      <c r="O724">
        <v>24.23</v>
      </c>
      <c r="Q724" t="s">
        <v>33</v>
      </c>
      <c r="R724" t="s">
        <v>34</v>
      </c>
      <c r="S724" t="s">
        <v>35</v>
      </c>
      <c r="T724" t="s">
        <v>35</v>
      </c>
      <c r="U724" t="s">
        <v>34</v>
      </c>
      <c r="V724" t="str">
        <f>""</f>
        <v/>
      </c>
      <c r="W724">
        <v>20141211</v>
      </c>
      <c r="X724" t="s">
        <v>185</v>
      </c>
      <c r="Y724" t="s">
        <v>582</v>
      </c>
      <c r="Z724" t="s">
        <v>582</v>
      </c>
      <c r="AA724">
        <v>0</v>
      </c>
      <c r="AB724" t="s">
        <v>142</v>
      </c>
      <c r="AC724" t="s">
        <v>143</v>
      </c>
      <c r="AD724" t="s">
        <v>40</v>
      </c>
      <c r="AE724" t="str">
        <f t="shared" si="194"/>
        <v>12</v>
      </c>
      <c r="AF724" t="s">
        <v>40</v>
      </c>
    </row>
    <row r="725" spans="1:32" x14ac:dyDescent="0.25">
      <c r="A725">
        <v>5</v>
      </c>
      <c r="B725">
        <v>420</v>
      </c>
      <c r="C725" t="str">
        <f t="shared" si="198"/>
        <v>51</v>
      </c>
      <c r="D725">
        <v>6319</v>
      </c>
      <c r="E725" t="str">
        <f t="shared" si="193"/>
        <v>00</v>
      </c>
      <c r="F725" t="str">
        <f t="shared" si="196"/>
        <v>999</v>
      </c>
      <c r="G725">
        <v>5</v>
      </c>
      <c r="H725" t="str">
        <f t="shared" si="197"/>
        <v>99</v>
      </c>
      <c r="I725" t="str">
        <f t="shared" si="195"/>
        <v>0</v>
      </c>
      <c r="J725" t="str">
        <f t="shared" ref="J725:J788" si="201">"00"</f>
        <v>00</v>
      </c>
      <c r="K725">
        <v>20141216</v>
      </c>
      <c r="L725" t="str">
        <f t="shared" si="199"/>
        <v>014647</v>
      </c>
      <c r="M725" t="str">
        <f t="shared" si="200"/>
        <v>00152</v>
      </c>
      <c r="N725" t="s">
        <v>413</v>
      </c>
      <c r="O725">
        <v>44.72</v>
      </c>
      <c r="Q725" t="s">
        <v>33</v>
      </c>
      <c r="R725" t="s">
        <v>34</v>
      </c>
      <c r="S725" t="s">
        <v>35</v>
      </c>
      <c r="T725" t="s">
        <v>35</v>
      </c>
      <c r="U725" t="s">
        <v>34</v>
      </c>
      <c r="V725" t="str">
        <f>""</f>
        <v/>
      </c>
      <c r="W725">
        <v>20141211</v>
      </c>
      <c r="X725" t="s">
        <v>185</v>
      </c>
      <c r="Y725" t="s">
        <v>583</v>
      </c>
      <c r="Z725" t="s">
        <v>583</v>
      </c>
      <c r="AA725">
        <v>0</v>
      </c>
      <c r="AB725" t="s">
        <v>142</v>
      </c>
      <c r="AC725" t="s">
        <v>143</v>
      </c>
      <c r="AD725" t="s">
        <v>40</v>
      </c>
      <c r="AE725" t="str">
        <f t="shared" si="194"/>
        <v>12</v>
      </c>
      <c r="AF725" t="s">
        <v>40</v>
      </c>
    </row>
    <row r="726" spans="1:32" x14ac:dyDescent="0.25">
      <c r="A726">
        <v>5</v>
      </c>
      <c r="B726">
        <v>420</v>
      </c>
      <c r="C726" t="str">
        <f t="shared" si="198"/>
        <v>51</v>
      </c>
      <c r="D726">
        <v>6319</v>
      </c>
      <c r="E726" t="str">
        <f t="shared" si="193"/>
        <v>00</v>
      </c>
      <c r="F726" t="str">
        <f t="shared" si="196"/>
        <v>999</v>
      </c>
      <c r="G726">
        <v>5</v>
      </c>
      <c r="H726" t="str">
        <f t="shared" si="197"/>
        <v>99</v>
      </c>
      <c r="I726" t="str">
        <f t="shared" si="195"/>
        <v>0</v>
      </c>
      <c r="J726" t="str">
        <f t="shared" si="201"/>
        <v>00</v>
      </c>
      <c r="K726">
        <v>20141216</v>
      </c>
      <c r="L726" t="str">
        <f t="shared" si="199"/>
        <v>014647</v>
      </c>
      <c r="M726" t="str">
        <f t="shared" si="200"/>
        <v>00152</v>
      </c>
      <c r="N726" t="s">
        <v>413</v>
      </c>
      <c r="O726">
        <v>70.36</v>
      </c>
      <c r="Q726" t="s">
        <v>33</v>
      </c>
      <c r="R726" t="s">
        <v>34</v>
      </c>
      <c r="S726" t="s">
        <v>35</v>
      </c>
      <c r="T726" t="s">
        <v>35</v>
      </c>
      <c r="U726" t="s">
        <v>34</v>
      </c>
      <c r="V726" t="str">
        <f>""</f>
        <v/>
      </c>
      <c r="W726">
        <v>20141211</v>
      </c>
      <c r="X726" t="s">
        <v>185</v>
      </c>
      <c r="Y726" t="s">
        <v>584</v>
      </c>
      <c r="Z726" t="s">
        <v>584</v>
      </c>
      <c r="AA726">
        <v>0</v>
      </c>
      <c r="AB726" t="s">
        <v>142</v>
      </c>
      <c r="AC726" t="s">
        <v>143</v>
      </c>
      <c r="AD726" t="s">
        <v>40</v>
      </c>
      <c r="AE726" t="str">
        <f t="shared" si="194"/>
        <v>12</v>
      </c>
      <c r="AF726" t="s">
        <v>40</v>
      </c>
    </row>
    <row r="727" spans="1:32" x14ac:dyDescent="0.25">
      <c r="A727">
        <v>5</v>
      </c>
      <c r="B727">
        <v>420</v>
      </c>
      <c r="C727" t="str">
        <f t="shared" si="198"/>
        <v>51</v>
      </c>
      <c r="D727">
        <v>6319</v>
      </c>
      <c r="E727" t="str">
        <f t="shared" si="193"/>
        <v>00</v>
      </c>
      <c r="F727" t="str">
        <f t="shared" si="196"/>
        <v>999</v>
      </c>
      <c r="G727">
        <v>5</v>
      </c>
      <c r="H727" t="str">
        <f t="shared" si="197"/>
        <v>99</v>
      </c>
      <c r="I727" t="str">
        <f t="shared" si="195"/>
        <v>0</v>
      </c>
      <c r="J727" t="str">
        <f t="shared" si="201"/>
        <v>00</v>
      </c>
      <c r="K727">
        <v>20141216</v>
      </c>
      <c r="L727" t="str">
        <f t="shared" si="199"/>
        <v>014647</v>
      </c>
      <c r="M727" t="str">
        <f t="shared" si="200"/>
        <v>00152</v>
      </c>
      <c r="N727" t="s">
        <v>413</v>
      </c>
      <c r="O727">
        <v>685.24</v>
      </c>
      <c r="Q727" t="s">
        <v>33</v>
      </c>
      <c r="R727" t="s">
        <v>34</v>
      </c>
      <c r="S727" t="s">
        <v>35</v>
      </c>
      <c r="T727" t="s">
        <v>35</v>
      </c>
      <c r="U727" t="s">
        <v>34</v>
      </c>
      <c r="V727" t="str">
        <f>""</f>
        <v/>
      </c>
      <c r="W727">
        <v>20141211</v>
      </c>
      <c r="X727" t="s">
        <v>185</v>
      </c>
      <c r="Y727" t="s">
        <v>585</v>
      </c>
      <c r="Z727" t="s">
        <v>585</v>
      </c>
      <c r="AA727">
        <v>0</v>
      </c>
      <c r="AB727" t="s">
        <v>142</v>
      </c>
      <c r="AC727" t="s">
        <v>143</v>
      </c>
      <c r="AD727" t="s">
        <v>40</v>
      </c>
      <c r="AE727" t="str">
        <f t="shared" si="194"/>
        <v>12</v>
      </c>
      <c r="AF727" t="s">
        <v>40</v>
      </c>
    </row>
    <row r="728" spans="1:32" x14ac:dyDescent="0.25">
      <c r="A728">
        <v>5</v>
      </c>
      <c r="B728">
        <v>420</v>
      </c>
      <c r="C728" t="str">
        <f t="shared" si="198"/>
        <v>51</v>
      </c>
      <c r="D728">
        <v>6319</v>
      </c>
      <c r="E728" t="str">
        <f t="shared" si="193"/>
        <v>00</v>
      </c>
      <c r="F728" t="str">
        <f t="shared" si="196"/>
        <v>999</v>
      </c>
      <c r="G728">
        <v>5</v>
      </c>
      <c r="H728" t="str">
        <f t="shared" si="197"/>
        <v>99</v>
      </c>
      <c r="I728" t="str">
        <f t="shared" si="195"/>
        <v>0</v>
      </c>
      <c r="J728" t="str">
        <f t="shared" si="201"/>
        <v>00</v>
      </c>
      <c r="K728">
        <v>20141216</v>
      </c>
      <c r="L728" t="str">
        <f t="shared" si="199"/>
        <v>014647</v>
      </c>
      <c r="M728" t="str">
        <f t="shared" si="200"/>
        <v>00152</v>
      </c>
      <c r="N728" t="s">
        <v>413</v>
      </c>
      <c r="O728">
        <v>20.309999999999999</v>
      </c>
      <c r="Q728" t="s">
        <v>33</v>
      </c>
      <c r="R728" t="s">
        <v>34</v>
      </c>
      <c r="S728" t="s">
        <v>35</v>
      </c>
      <c r="T728" t="s">
        <v>35</v>
      </c>
      <c r="U728" t="s">
        <v>34</v>
      </c>
      <c r="V728" t="str">
        <f>""</f>
        <v/>
      </c>
      <c r="W728">
        <v>20141211</v>
      </c>
      <c r="X728" t="s">
        <v>185</v>
      </c>
      <c r="Y728" t="s">
        <v>585</v>
      </c>
      <c r="Z728" t="s">
        <v>585</v>
      </c>
      <c r="AA728">
        <v>0</v>
      </c>
      <c r="AB728" t="s">
        <v>142</v>
      </c>
      <c r="AC728" t="s">
        <v>143</v>
      </c>
      <c r="AD728" t="s">
        <v>40</v>
      </c>
      <c r="AE728" t="str">
        <f t="shared" si="194"/>
        <v>12</v>
      </c>
      <c r="AF728" t="s">
        <v>40</v>
      </c>
    </row>
    <row r="729" spans="1:32" x14ac:dyDescent="0.25">
      <c r="A729">
        <v>5</v>
      </c>
      <c r="B729">
        <v>420</v>
      </c>
      <c r="C729" t="str">
        <f t="shared" si="198"/>
        <v>51</v>
      </c>
      <c r="D729">
        <v>6319</v>
      </c>
      <c r="E729" t="str">
        <f t="shared" si="193"/>
        <v>00</v>
      </c>
      <c r="F729" t="str">
        <f t="shared" si="196"/>
        <v>999</v>
      </c>
      <c r="G729">
        <v>5</v>
      </c>
      <c r="H729" t="str">
        <f t="shared" si="197"/>
        <v>99</v>
      </c>
      <c r="I729" t="str">
        <f t="shared" si="195"/>
        <v>0</v>
      </c>
      <c r="J729" t="str">
        <f t="shared" si="201"/>
        <v>00</v>
      </c>
      <c r="K729">
        <v>20141216</v>
      </c>
      <c r="L729" t="str">
        <f t="shared" si="199"/>
        <v>014647</v>
      </c>
      <c r="M729" t="str">
        <f t="shared" si="200"/>
        <v>00152</v>
      </c>
      <c r="N729" t="s">
        <v>413</v>
      </c>
      <c r="O729">
        <v>63.66</v>
      </c>
      <c r="Q729" t="s">
        <v>33</v>
      </c>
      <c r="R729" t="s">
        <v>34</v>
      </c>
      <c r="S729" t="s">
        <v>35</v>
      </c>
      <c r="T729" t="s">
        <v>35</v>
      </c>
      <c r="U729" t="s">
        <v>34</v>
      </c>
      <c r="V729" t="str">
        <f>""</f>
        <v/>
      </c>
      <c r="W729">
        <v>20141211</v>
      </c>
      <c r="X729" t="s">
        <v>185</v>
      </c>
      <c r="Y729" t="s">
        <v>586</v>
      </c>
      <c r="Z729" t="s">
        <v>586</v>
      </c>
      <c r="AA729">
        <v>0</v>
      </c>
      <c r="AB729" t="s">
        <v>142</v>
      </c>
      <c r="AC729" t="s">
        <v>143</v>
      </c>
      <c r="AD729" t="s">
        <v>40</v>
      </c>
      <c r="AE729" t="str">
        <f t="shared" si="194"/>
        <v>12</v>
      </c>
      <c r="AF729" t="s">
        <v>40</v>
      </c>
    </row>
    <row r="730" spans="1:32" x14ac:dyDescent="0.25">
      <c r="A730">
        <v>5</v>
      </c>
      <c r="B730">
        <v>420</v>
      </c>
      <c r="C730" t="str">
        <f t="shared" si="198"/>
        <v>51</v>
      </c>
      <c r="D730">
        <v>6319</v>
      </c>
      <c r="E730" t="str">
        <f t="shared" si="193"/>
        <v>00</v>
      </c>
      <c r="F730" t="str">
        <f t="shared" si="196"/>
        <v>999</v>
      </c>
      <c r="G730">
        <v>5</v>
      </c>
      <c r="H730" t="str">
        <f t="shared" si="197"/>
        <v>99</v>
      </c>
      <c r="I730" t="str">
        <f t="shared" si="195"/>
        <v>0</v>
      </c>
      <c r="J730" t="str">
        <f t="shared" si="201"/>
        <v>00</v>
      </c>
      <c r="K730">
        <v>20141216</v>
      </c>
      <c r="L730" t="str">
        <f t="shared" si="199"/>
        <v>014647</v>
      </c>
      <c r="M730" t="str">
        <f t="shared" si="200"/>
        <v>00152</v>
      </c>
      <c r="N730" t="s">
        <v>413</v>
      </c>
      <c r="O730">
        <v>228.62</v>
      </c>
      <c r="Q730" t="s">
        <v>33</v>
      </c>
      <c r="R730" t="s">
        <v>34</v>
      </c>
      <c r="S730" t="s">
        <v>35</v>
      </c>
      <c r="T730" t="s">
        <v>35</v>
      </c>
      <c r="U730" t="s">
        <v>34</v>
      </c>
      <c r="V730" t="str">
        <f>""</f>
        <v/>
      </c>
      <c r="W730">
        <v>20141211</v>
      </c>
      <c r="X730" t="s">
        <v>185</v>
      </c>
      <c r="Y730" t="s">
        <v>586</v>
      </c>
      <c r="Z730" t="s">
        <v>586</v>
      </c>
      <c r="AA730">
        <v>0</v>
      </c>
      <c r="AB730" t="s">
        <v>142</v>
      </c>
      <c r="AC730" t="s">
        <v>143</v>
      </c>
      <c r="AD730" t="s">
        <v>40</v>
      </c>
      <c r="AE730" t="str">
        <f t="shared" si="194"/>
        <v>12</v>
      </c>
      <c r="AF730" t="s">
        <v>40</v>
      </c>
    </row>
    <row r="731" spans="1:32" x14ac:dyDescent="0.25">
      <c r="A731">
        <v>5</v>
      </c>
      <c r="B731">
        <v>420</v>
      </c>
      <c r="C731" t="str">
        <f t="shared" si="198"/>
        <v>51</v>
      </c>
      <c r="D731">
        <v>6319</v>
      </c>
      <c r="E731" t="str">
        <f t="shared" si="193"/>
        <v>00</v>
      </c>
      <c r="F731" t="str">
        <f t="shared" si="196"/>
        <v>999</v>
      </c>
      <c r="G731">
        <v>5</v>
      </c>
      <c r="H731" t="str">
        <f t="shared" si="197"/>
        <v>99</v>
      </c>
      <c r="I731" t="str">
        <f t="shared" si="195"/>
        <v>0</v>
      </c>
      <c r="J731" t="str">
        <f t="shared" si="201"/>
        <v>00</v>
      </c>
      <c r="K731">
        <v>20141216</v>
      </c>
      <c r="L731" t="str">
        <f t="shared" si="199"/>
        <v>014647</v>
      </c>
      <c r="M731" t="str">
        <f t="shared" si="200"/>
        <v>00152</v>
      </c>
      <c r="N731" t="s">
        <v>413</v>
      </c>
      <c r="O731">
        <v>19.45</v>
      </c>
      <c r="Q731" t="s">
        <v>33</v>
      </c>
      <c r="R731" t="s">
        <v>34</v>
      </c>
      <c r="S731" t="s">
        <v>35</v>
      </c>
      <c r="T731" t="s">
        <v>35</v>
      </c>
      <c r="U731" t="s">
        <v>34</v>
      </c>
      <c r="V731" t="str">
        <f>""</f>
        <v/>
      </c>
      <c r="W731">
        <v>20141211</v>
      </c>
      <c r="X731" t="s">
        <v>185</v>
      </c>
      <c r="Y731" t="s">
        <v>586</v>
      </c>
      <c r="Z731" t="s">
        <v>586</v>
      </c>
      <c r="AA731">
        <v>0</v>
      </c>
      <c r="AB731" t="s">
        <v>142</v>
      </c>
      <c r="AC731" t="s">
        <v>143</v>
      </c>
      <c r="AD731" t="s">
        <v>40</v>
      </c>
      <c r="AE731" t="str">
        <f t="shared" si="194"/>
        <v>12</v>
      </c>
      <c r="AF731" t="s">
        <v>40</v>
      </c>
    </row>
    <row r="732" spans="1:32" x14ac:dyDescent="0.25">
      <c r="A732">
        <v>5</v>
      </c>
      <c r="B732">
        <v>420</v>
      </c>
      <c r="C732" t="str">
        <f t="shared" si="198"/>
        <v>51</v>
      </c>
      <c r="D732">
        <v>6319</v>
      </c>
      <c r="E732" t="str">
        <f t="shared" si="193"/>
        <v>00</v>
      </c>
      <c r="F732" t="str">
        <f t="shared" si="196"/>
        <v>999</v>
      </c>
      <c r="G732">
        <v>5</v>
      </c>
      <c r="H732" t="str">
        <f t="shared" si="197"/>
        <v>99</v>
      </c>
      <c r="I732" t="str">
        <f t="shared" si="195"/>
        <v>0</v>
      </c>
      <c r="J732" t="str">
        <f t="shared" si="201"/>
        <v>00</v>
      </c>
      <c r="K732">
        <v>20141216</v>
      </c>
      <c r="L732" t="str">
        <f t="shared" si="199"/>
        <v>014647</v>
      </c>
      <c r="M732" t="str">
        <f t="shared" si="200"/>
        <v>00152</v>
      </c>
      <c r="N732" t="s">
        <v>413</v>
      </c>
      <c r="O732">
        <v>35.1</v>
      </c>
      <c r="Q732" t="s">
        <v>33</v>
      </c>
      <c r="R732" t="s">
        <v>34</v>
      </c>
      <c r="S732" t="s">
        <v>35</v>
      </c>
      <c r="T732" t="s">
        <v>35</v>
      </c>
      <c r="U732" t="s">
        <v>34</v>
      </c>
      <c r="V732" t="str">
        <f>""</f>
        <v/>
      </c>
      <c r="W732">
        <v>20141211</v>
      </c>
      <c r="X732" t="s">
        <v>185</v>
      </c>
      <c r="Y732" t="s">
        <v>495</v>
      </c>
      <c r="Z732" t="s">
        <v>495</v>
      </c>
      <c r="AA732">
        <v>0</v>
      </c>
      <c r="AB732" t="s">
        <v>142</v>
      </c>
      <c r="AC732" t="s">
        <v>143</v>
      </c>
      <c r="AD732" t="s">
        <v>40</v>
      </c>
      <c r="AE732" t="str">
        <f t="shared" si="194"/>
        <v>12</v>
      </c>
      <c r="AF732" t="s">
        <v>40</v>
      </c>
    </row>
    <row r="733" spans="1:32" x14ac:dyDescent="0.25">
      <c r="A733">
        <v>5</v>
      </c>
      <c r="B733">
        <v>420</v>
      </c>
      <c r="C733" t="str">
        <f t="shared" si="198"/>
        <v>51</v>
      </c>
      <c r="D733">
        <v>6319</v>
      </c>
      <c r="E733" t="str">
        <f t="shared" si="193"/>
        <v>00</v>
      </c>
      <c r="F733" t="str">
        <f t="shared" si="196"/>
        <v>999</v>
      </c>
      <c r="G733">
        <v>5</v>
      </c>
      <c r="H733" t="str">
        <f t="shared" si="197"/>
        <v>99</v>
      </c>
      <c r="I733" t="str">
        <f t="shared" si="195"/>
        <v>0</v>
      </c>
      <c r="J733" t="str">
        <f t="shared" si="201"/>
        <v>00</v>
      </c>
      <c r="K733">
        <v>20141216</v>
      </c>
      <c r="L733" t="str">
        <f t="shared" si="199"/>
        <v>014647</v>
      </c>
      <c r="M733" t="str">
        <f t="shared" si="200"/>
        <v>00152</v>
      </c>
      <c r="N733" t="s">
        <v>413</v>
      </c>
      <c r="O733">
        <v>77.87</v>
      </c>
      <c r="Q733" t="s">
        <v>33</v>
      </c>
      <c r="R733" t="s">
        <v>34</v>
      </c>
      <c r="S733" t="s">
        <v>35</v>
      </c>
      <c r="T733" t="s">
        <v>35</v>
      </c>
      <c r="U733" t="s">
        <v>34</v>
      </c>
      <c r="V733" t="str">
        <f>""</f>
        <v/>
      </c>
      <c r="W733">
        <v>20141211</v>
      </c>
      <c r="X733" t="s">
        <v>185</v>
      </c>
      <c r="Y733" t="s">
        <v>493</v>
      </c>
      <c r="Z733" t="s">
        <v>493</v>
      </c>
      <c r="AA733">
        <v>0</v>
      </c>
      <c r="AB733" t="s">
        <v>142</v>
      </c>
      <c r="AC733" t="s">
        <v>143</v>
      </c>
      <c r="AD733" t="s">
        <v>40</v>
      </c>
      <c r="AE733" t="str">
        <f t="shared" si="194"/>
        <v>12</v>
      </c>
      <c r="AF733" t="s">
        <v>40</v>
      </c>
    </row>
    <row r="734" spans="1:32" x14ac:dyDescent="0.25">
      <c r="A734">
        <v>5</v>
      </c>
      <c r="B734">
        <v>420</v>
      </c>
      <c r="C734" t="str">
        <f t="shared" si="198"/>
        <v>51</v>
      </c>
      <c r="D734">
        <v>6319</v>
      </c>
      <c r="E734" t="str">
        <f t="shared" si="193"/>
        <v>00</v>
      </c>
      <c r="F734" t="str">
        <f t="shared" si="196"/>
        <v>999</v>
      </c>
      <c r="G734">
        <v>5</v>
      </c>
      <c r="H734" t="str">
        <f t="shared" si="197"/>
        <v>99</v>
      </c>
      <c r="I734" t="str">
        <f t="shared" si="195"/>
        <v>0</v>
      </c>
      <c r="J734" t="str">
        <f t="shared" si="201"/>
        <v>00</v>
      </c>
      <c r="K734">
        <v>20141216</v>
      </c>
      <c r="L734" t="str">
        <f t="shared" si="199"/>
        <v>014647</v>
      </c>
      <c r="M734" t="str">
        <f t="shared" si="200"/>
        <v>00152</v>
      </c>
      <c r="N734" t="s">
        <v>413</v>
      </c>
      <c r="O734">
        <v>95.03</v>
      </c>
      <c r="Q734" t="s">
        <v>33</v>
      </c>
      <c r="R734" t="s">
        <v>34</v>
      </c>
      <c r="S734" t="s">
        <v>35</v>
      </c>
      <c r="T734" t="s">
        <v>35</v>
      </c>
      <c r="U734" t="s">
        <v>34</v>
      </c>
      <c r="V734" t="str">
        <f>""</f>
        <v/>
      </c>
      <c r="W734">
        <v>20141211</v>
      </c>
      <c r="X734" t="s">
        <v>185</v>
      </c>
      <c r="Y734" t="s">
        <v>493</v>
      </c>
      <c r="Z734" t="s">
        <v>493</v>
      </c>
      <c r="AA734">
        <v>0</v>
      </c>
      <c r="AB734" t="s">
        <v>142</v>
      </c>
      <c r="AC734" t="s">
        <v>143</v>
      </c>
      <c r="AD734" t="s">
        <v>40</v>
      </c>
      <c r="AE734" t="str">
        <f t="shared" si="194"/>
        <v>12</v>
      </c>
      <c r="AF734" t="s">
        <v>40</v>
      </c>
    </row>
    <row r="735" spans="1:32" x14ac:dyDescent="0.25">
      <c r="A735">
        <v>5</v>
      </c>
      <c r="B735">
        <v>211</v>
      </c>
      <c r="C735" t="str">
        <f>"11"</f>
        <v>11</v>
      </c>
      <c r="D735">
        <v>6219</v>
      </c>
      <c r="E735" t="str">
        <f t="shared" si="193"/>
        <v>00</v>
      </c>
      <c r="F735" t="str">
        <f>"041"</f>
        <v>041</v>
      </c>
      <c r="G735">
        <v>5</v>
      </c>
      <c r="H735" t="str">
        <f>"30"</f>
        <v>30</v>
      </c>
      <c r="I735" t="str">
        <f t="shared" si="195"/>
        <v>0</v>
      </c>
      <c r="J735" t="str">
        <f t="shared" si="201"/>
        <v>00</v>
      </c>
      <c r="K735">
        <v>20141216</v>
      </c>
      <c r="L735" t="str">
        <f>"014648"</f>
        <v>014648</v>
      </c>
      <c r="M735" t="str">
        <f>"00796"</f>
        <v>00796</v>
      </c>
      <c r="N735" t="s">
        <v>587</v>
      </c>
      <c r="O735">
        <v>195</v>
      </c>
      <c r="Q735" t="s">
        <v>33</v>
      </c>
      <c r="R735" t="s">
        <v>34</v>
      </c>
      <c r="S735" t="s">
        <v>35</v>
      </c>
      <c r="T735" t="s">
        <v>35</v>
      </c>
      <c r="U735" t="s">
        <v>34</v>
      </c>
      <c r="V735" t="str">
        <f>""</f>
        <v/>
      </c>
      <c r="W735">
        <v>20141216</v>
      </c>
      <c r="X735" t="s">
        <v>175</v>
      </c>
      <c r="Y735" t="s">
        <v>517</v>
      </c>
      <c r="Z735" t="s">
        <v>517</v>
      </c>
      <c r="AA735">
        <v>0</v>
      </c>
      <c r="AB735" t="s">
        <v>174</v>
      </c>
      <c r="AC735" t="s">
        <v>41</v>
      </c>
      <c r="AD735" t="s">
        <v>40</v>
      </c>
      <c r="AE735" t="str">
        <f t="shared" si="194"/>
        <v>12</v>
      </c>
      <c r="AF735" t="s">
        <v>40</v>
      </c>
    </row>
    <row r="736" spans="1:32" x14ac:dyDescent="0.25">
      <c r="A736">
        <v>5</v>
      </c>
      <c r="B736">
        <v>211</v>
      </c>
      <c r="C736" t="str">
        <f>"11"</f>
        <v>11</v>
      </c>
      <c r="D736">
        <v>6219</v>
      </c>
      <c r="E736" t="str">
        <f t="shared" ref="E736:E752" si="202">"00"</f>
        <v>00</v>
      </c>
      <c r="F736" t="str">
        <f>"101"</f>
        <v>101</v>
      </c>
      <c r="G736">
        <v>5</v>
      </c>
      <c r="H736" t="str">
        <f>"30"</f>
        <v>30</v>
      </c>
      <c r="I736" t="str">
        <f t="shared" si="195"/>
        <v>0</v>
      </c>
      <c r="J736" t="str">
        <f t="shared" si="201"/>
        <v>00</v>
      </c>
      <c r="K736">
        <v>20141216</v>
      </c>
      <c r="L736" t="str">
        <f>"014648"</f>
        <v>014648</v>
      </c>
      <c r="M736" t="str">
        <f>"00796"</f>
        <v>00796</v>
      </c>
      <c r="N736" t="s">
        <v>587</v>
      </c>
      <c r="O736" s="1">
        <v>1805</v>
      </c>
      <c r="Q736" t="s">
        <v>33</v>
      </c>
      <c r="R736" t="s">
        <v>34</v>
      </c>
      <c r="S736" t="s">
        <v>35</v>
      </c>
      <c r="T736" t="s">
        <v>35</v>
      </c>
      <c r="U736" t="s">
        <v>34</v>
      </c>
      <c r="V736" t="str">
        <f>""</f>
        <v/>
      </c>
      <c r="W736">
        <v>20141216</v>
      </c>
      <c r="X736" t="s">
        <v>181</v>
      </c>
      <c r="Y736" t="s">
        <v>517</v>
      </c>
      <c r="Z736" t="s">
        <v>517</v>
      </c>
      <c r="AA736">
        <v>0</v>
      </c>
      <c r="AB736" t="s">
        <v>174</v>
      </c>
      <c r="AC736" t="s">
        <v>41</v>
      </c>
      <c r="AD736" t="s">
        <v>40</v>
      </c>
      <c r="AE736" t="str">
        <f t="shared" si="194"/>
        <v>12</v>
      </c>
      <c r="AF736" t="s">
        <v>40</v>
      </c>
    </row>
    <row r="737" spans="1:32" x14ac:dyDescent="0.25">
      <c r="A737">
        <v>5</v>
      </c>
      <c r="B737">
        <v>240</v>
      </c>
      <c r="C737" t="str">
        <f>"35"</f>
        <v>35</v>
      </c>
      <c r="D737">
        <v>6319</v>
      </c>
      <c r="E737" t="str">
        <f t="shared" si="202"/>
        <v>00</v>
      </c>
      <c r="F737" t="str">
        <f>"999"</f>
        <v>999</v>
      </c>
      <c r="G737">
        <v>5</v>
      </c>
      <c r="H737" t="str">
        <f>"99"</f>
        <v>99</v>
      </c>
      <c r="I737" t="str">
        <f t="shared" si="195"/>
        <v>0</v>
      </c>
      <c r="J737" t="str">
        <f t="shared" si="201"/>
        <v>00</v>
      </c>
      <c r="K737">
        <v>20141216</v>
      </c>
      <c r="L737" t="str">
        <f>"014649"</f>
        <v>014649</v>
      </c>
      <c r="M737" t="str">
        <f>"00248"</f>
        <v>00248</v>
      </c>
      <c r="N737" t="s">
        <v>345</v>
      </c>
      <c r="O737">
        <v>438.24</v>
      </c>
      <c r="Q737" t="s">
        <v>33</v>
      </c>
      <c r="R737" t="s">
        <v>34</v>
      </c>
      <c r="S737" t="s">
        <v>35</v>
      </c>
      <c r="T737" t="s">
        <v>35</v>
      </c>
      <c r="U737" t="s">
        <v>34</v>
      </c>
      <c r="V737" t="str">
        <f>""</f>
        <v/>
      </c>
      <c r="W737">
        <v>20141216</v>
      </c>
      <c r="X737" t="s">
        <v>267</v>
      </c>
      <c r="Y737" t="s">
        <v>333</v>
      </c>
      <c r="Z737" t="s">
        <v>333</v>
      </c>
      <c r="AA737">
        <v>0</v>
      </c>
      <c r="AB737" t="s">
        <v>238</v>
      </c>
      <c r="AC737" t="s">
        <v>143</v>
      </c>
      <c r="AD737" t="s">
        <v>40</v>
      </c>
      <c r="AE737" t="str">
        <f t="shared" si="194"/>
        <v>12</v>
      </c>
      <c r="AF737" t="s">
        <v>40</v>
      </c>
    </row>
    <row r="738" spans="1:32" x14ac:dyDescent="0.25">
      <c r="A738">
        <v>5</v>
      </c>
      <c r="B738">
        <v>420</v>
      </c>
      <c r="C738" t="str">
        <f>"11"</f>
        <v>11</v>
      </c>
      <c r="D738">
        <v>6399</v>
      </c>
      <c r="E738" t="str">
        <f t="shared" si="202"/>
        <v>00</v>
      </c>
      <c r="F738" t="str">
        <f>"001"</f>
        <v>001</v>
      </c>
      <c r="G738">
        <v>5</v>
      </c>
      <c r="H738" t="str">
        <f>"11"</f>
        <v>11</v>
      </c>
      <c r="I738" t="str">
        <f t="shared" si="195"/>
        <v>0</v>
      </c>
      <c r="J738" t="str">
        <f t="shared" si="201"/>
        <v>00</v>
      </c>
      <c r="K738">
        <v>20141216</v>
      </c>
      <c r="L738" t="str">
        <f>"014650"</f>
        <v>014650</v>
      </c>
      <c r="M738" t="str">
        <f>"00274"</f>
        <v>00274</v>
      </c>
      <c r="N738" t="s">
        <v>372</v>
      </c>
      <c r="O738">
        <v>134.37</v>
      </c>
      <c r="Q738" t="s">
        <v>33</v>
      </c>
      <c r="R738" t="s">
        <v>34</v>
      </c>
      <c r="S738" t="s">
        <v>35</v>
      </c>
      <c r="T738" t="s">
        <v>35</v>
      </c>
      <c r="U738" t="s">
        <v>34</v>
      </c>
      <c r="V738" t="str">
        <f>""</f>
        <v/>
      </c>
      <c r="W738">
        <v>20141216</v>
      </c>
      <c r="X738" t="s">
        <v>239</v>
      </c>
      <c r="Y738" t="s">
        <v>588</v>
      </c>
      <c r="Z738" t="s">
        <v>588</v>
      </c>
      <c r="AA738">
        <v>0</v>
      </c>
      <c r="AB738" t="s">
        <v>142</v>
      </c>
      <c r="AC738" t="s">
        <v>41</v>
      </c>
      <c r="AD738" t="s">
        <v>40</v>
      </c>
      <c r="AE738" t="str">
        <f t="shared" si="194"/>
        <v>12</v>
      </c>
      <c r="AF738" t="s">
        <v>40</v>
      </c>
    </row>
    <row r="739" spans="1:32" x14ac:dyDescent="0.25">
      <c r="A739">
        <v>5</v>
      </c>
      <c r="B739">
        <v>420</v>
      </c>
      <c r="C739" t="str">
        <f>"11"</f>
        <v>11</v>
      </c>
      <c r="D739">
        <v>6399</v>
      </c>
      <c r="E739" t="str">
        <f t="shared" si="202"/>
        <v>00</v>
      </c>
      <c r="F739" t="str">
        <f>"041"</f>
        <v>041</v>
      </c>
      <c r="G739">
        <v>5</v>
      </c>
      <c r="H739" t="str">
        <f>"11"</f>
        <v>11</v>
      </c>
      <c r="I739" t="str">
        <f t="shared" si="195"/>
        <v>0</v>
      </c>
      <c r="J739" t="str">
        <f t="shared" si="201"/>
        <v>00</v>
      </c>
      <c r="K739">
        <v>20141216</v>
      </c>
      <c r="L739" t="str">
        <f>"014650"</f>
        <v>014650</v>
      </c>
      <c r="M739" t="str">
        <f>"00274"</f>
        <v>00274</v>
      </c>
      <c r="N739" t="s">
        <v>372</v>
      </c>
      <c r="O739">
        <v>134.38</v>
      </c>
      <c r="Q739" t="s">
        <v>33</v>
      </c>
      <c r="R739" t="s">
        <v>34</v>
      </c>
      <c r="S739" t="s">
        <v>35</v>
      </c>
      <c r="T739" t="s">
        <v>35</v>
      </c>
      <c r="U739" t="s">
        <v>34</v>
      </c>
      <c r="V739" t="str">
        <f>""</f>
        <v/>
      </c>
      <c r="W739">
        <v>20141216</v>
      </c>
      <c r="X739" t="s">
        <v>241</v>
      </c>
      <c r="Y739" t="s">
        <v>588</v>
      </c>
      <c r="Z739" t="s">
        <v>588</v>
      </c>
      <c r="AA739">
        <v>0</v>
      </c>
      <c r="AB739" t="s">
        <v>142</v>
      </c>
      <c r="AC739" t="s">
        <v>41</v>
      </c>
      <c r="AD739" t="s">
        <v>40</v>
      </c>
      <c r="AE739" t="str">
        <f t="shared" si="194"/>
        <v>12</v>
      </c>
      <c r="AF739" t="s">
        <v>40</v>
      </c>
    </row>
    <row r="740" spans="1:32" x14ac:dyDescent="0.25">
      <c r="A740">
        <v>5</v>
      </c>
      <c r="B740">
        <v>420</v>
      </c>
      <c r="C740" t="str">
        <f>"11"</f>
        <v>11</v>
      </c>
      <c r="D740">
        <v>6399</v>
      </c>
      <c r="E740" t="str">
        <f t="shared" si="202"/>
        <v>00</v>
      </c>
      <c r="F740" t="str">
        <f>"101"</f>
        <v>101</v>
      </c>
      <c r="G740">
        <v>5</v>
      </c>
      <c r="H740" t="str">
        <f>"11"</f>
        <v>11</v>
      </c>
      <c r="I740" t="str">
        <f t="shared" si="195"/>
        <v>0</v>
      </c>
      <c r="J740" t="str">
        <f t="shared" si="201"/>
        <v>00</v>
      </c>
      <c r="K740">
        <v>20141216</v>
      </c>
      <c r="L740" t="str">
        <f>"014650"</f>
        <v>014650</v>
      </c>
      <c r="M740" t="str">
        <f>"00274"</f>
        <v>00274</v>
      </c>
      <c r="N740" t="s">
        <v>372</v>
      </c>
      <c r="O740">
        <v>571.1</v>
      </c>
      <c r="Q740" t="s">
        <v>33</v>
      </c>
      <c r="R740" t="s">
        <v>34</v>
      </c>
      <c r="S740" t="s">
        <v>35</v>
      </c>
      <c r="T740" t="s">
        <v>35</v>
      </c>
      <c r="U740" t="s">
        <v>34</v>
      </c>
      <c r="V740" t="str">
        <f>""</f>
        <v/>
      </c>
      <c r="W740">
        <v>20141216</v>
      </c>
      <c r="X740" t="s">
        <v>246</v>
      </c>
      <c r="Y740" t="s">
        <v>588</v>
      </c>
      <c r="Z740" t="s">
        <v>588</v>
      </c>
      <c r="AA740">
        <v>0</v>
      </c>
      <c r="AB740" t="s">
        <v>142</v>
      </c>
      <c r="AC740" t="s">
        <v>41</v>
      </c>
      <c r="AD740" t="s">
        <v>40</v>
      </c>
      <c r="AE740" t="str">
        <f t="shared" si="194"/>
        <v>12</v>
      </c>
      <c r="AF740" t="s">
        <v>40</v>
      </c>
    </row>
    <row r="741" spans="1:32" x14ac:dyDescent="0.25">
      <c r="A741">
        <v>5</v>
      </c>
      <c r="B741">
        <v>420</v>
      </c>
      <c r="C741" t="str">
        <f>"11"</f>
        <v>11</v>
      </c>
      <c r="D741">
        <v>6315</v>
      </c>
      <c r="E741" t="str">
        <f t="shared" si="202"/>
        <v>00</v>
      </c>
      <c r="F741" t="str">
        <f>"101"</f>
        <v>101</v>
      </c>
      <c r="G741">
        <v>5</v>
      </c>
      <c r="H741" t="str">
        <f>"11"</f>
        <v>11</v>
      </c>
      <c r="I741" t="str">
        <f t="shared" si="195"/>
        <v>0</v>
      </c>
      <c r="J741" t="str">
        <f t="shared" si="201"/>
        <v>00</v>
      </c>
      <c r="K741">
        <v>20141216</v>
      </c>
      <c r="L741" t="str">
        <f>"014651"</f>
        <v>014651</v>
      </c>
      <c r="M741" t="str">
        <f>"00310"</f>
        <v>00310</v>
      </c>
      <c r="N741" t="s">
        <v>589</v>
      </c>
      <c r="O741">
        <v>351.84</v>
      </c>
      <c r="Q741" t="s">
        <v>33</v>
      </c>
      <c r="R741" t="s">
        <v>34</v>
      </c>
      <c r="S741" t="s">
        <v>35</v>
      </c>
      <c r="T741" t="s">
        <v>35</v>
      </c>
      <c r="U741" t="s">
        <v>34</v>
      </c>
      <c r="V741" t="str">
        <f>""</f>
        <v/>
      </c>
      <c r="W741">
        <v>20141216</v>
      </c>
      <c r="X741" t="s">
        <v>482</v>
      </c>
      <c r="Y741" t="s">
        <v>418</v>
      </c>
      <c r="Z741" t="s">
        <v>418</v>
      </c>
      <c r="AA741">
        <v>0</v>
      </c>
      <c r="AB741" t="s">
        <v>142</v>
      </c>
      <c r="AC741" t="s">
        <v>41</v>
      </c>
      <c r="AD741" t="s">
        <v>40</v>
      </c>
      <c r="AE741" t="str">
        <f t="shared" si="194"/>
        <v>12</v>
      </c>
      <c r="AF741" t="s">
        <v>40</v>
      </c>
    </row>
    <row r="742" spans="1:32" x14ac:dyDescent="0.25">
      <c r="A742">
        <v>5</v>
      </c>
      <c r="B742">
        <v>420</v>
      </c>
      <c r="C742" t="str">
        <f>"11"</f>
        <v>11</v>
      </c>
      <c r="D742">
        <v>6315</v>
      </c>
      <c r="E742" t="str">
        <f t="shared" si="202"/>
        <v>00</v>
      </c>
      <c r="F742" t="str">
        <f>"101"</f>
        <v>101</v>
      </c>
      <c r="G742">
        <v>5</v>
      </c>
      <c r="H742" t="str">
        <f>"11"</f>
        <v>11</v>
      </c>
      <c r="I742" t="str">
        <f t="shared" si="195"/>
        <v>0</v>
      </c>
      <c r="J742" t="str">
        <f t="shared" si="201"/>
        <v>00</v>
      </c>
      <c r="K742">
        <v>20141216</v>
      </c>
      <c r="L742" t="str">
        <f>"014651"</f>
        <v>014651</v>
      </c>
      <c r="M742" t="str">
        <f>"00310"</f>
        <v>00310</v>
      </c>
      <c r="N742" t="s">
        <v>589</v>
      </c>
      <c r="O742">
        <v>527.76</v>
      </c>
      <c r="Q742" t="s">
        <v>33</v>
      </c>
      <c r="R742" t="s">
        <v>34</v>
      </c>
      <c r="S742" t="s">
        <v>35</v>
      </c>
      <c r="T742" t="s">
        <v>35</v>
      </c>
      <c r="U742" t="s">
        <v>34</v>
      </c>
      <c r="V742" t="str">
        <f>""</f>
        <v/>
      </c>
      <c r="W742">
        <v>20141216</v>
      </c>
      <c r="X742" t="s">
        <v>482</v>
      </c>
      <c r="Y742" t="s">
        <v>418</v>
      </c>
      <c r="Z742" t="s">
        <v>418</v>
      </c>
      <c r="AA742">
        <v>0</v>
      </c>
      <c r="AB742" t="s">
        <v>142</v>
      </c>
      <c r="AC742" t="s">
        <v>41</v>
      </c>
      <c r="AD742" t="s">
        <v>40</v>
      </c>
      <c r="AE742" t="str">
        <f t="shared" si="194"/>
        <v>12</v>
      </c>
      <c r="AF742" t="s">
        <v>40</v>
      </c>
    </row>
    <row r="743" spans="1:32" x14ac:dyDescent="0.25">
      <c r="A743">
        <v>5</v>
      </c>
      <c r="B743">
        <v>420</v>
      </c>
      <c r="C743" t="str">
        <f>"34"</f>
        <v>34</v>
      </c>
      <c r="D743">
        <v>6311</v>
      </c>
      <c r="E743" t="str">
        <f t="shared" si="202"/>
        <v>00</v>
      </c>
      <c r="F743" t="str">
        <f t="shared" ref="F743:F755" si="203">"999"</f>
        <v>999</v>
      </c>
      <c r="G743">
        <v>5</v>
      </c>
      <c r="H743" t="str">
        <f t="shared" ref="H743:H757" si="204">"99"</f>
        <v>99</v>
      </c>
      <c r="I743" t="str">
        <f t="shared" si="195"/>
        <v>0</v>
      </c>
      <c r="J743" t="str">
        <f t="shared" si="201"/>
        <v>00</v>
      </c>
      <c r="K743">
        <v>20141216</v>
      </c>
      <c r="L743" t="str">
        <f>"014652"</f>
        <v>014652</v>
      </c>
      <c r="M743" t="str">
        <f>"00532"</f>
        <v>00532</v>
      </c>
      <c r="N743" t="s">
        <v>300</v>
      </c>
      <c r="O743" s="1">
        <v>2290.34</v>
      </c>
      <c r="Q743" t="s">
        <v>33</v>
      </c>
      <c r="R743" t="s">
        <v>34</v>
      </c>
      <c r="S743" t="s">
        <v>35</v>
      </c>
      <c r="T743" t="s">
        <v>35</v>
      </c>
      <c r="U743" t="s">
        <v>34</v>
      </c>
      <c r="V743" t="str">
        <f>""</f>
        <v/>
      </c>
      <c r="W743">
        <v>20141216</v>
      </c>
      <c r="X743" t="s">
        <v>301</v>
      </c>
      <c r="Y743" t="s">
        <v>302</v>
      </c>
      <c r="Z743" t="s">
        <v>302</v>
      </c>
      <c r="AA743">
        <v>0</v>
      </c>
      <c r="AB743" t="s">
        <v>142</v>
      </c>
      <c r="AC743" t="s">
        <v>143</v>
      </c>
      <c r="AD743" t="s">
        <v>40</v>
      </c>
      <c r="AE743" t="str">
        <f t="shared" si="194"/>
        <v>12</v>
      </c>
      <c r="AF743" t="s">
        <v>40</v>
      </c>
    </row>
    <row r="744" spans="1:32" x14ac:dyDescent="0.25">
      <c r="A744">
        <v>5</v>
      </c>
      <c r="B744">
        <v>420</v>
      </c>
      <c r="C744" t="str">
        <f>"34"</f>
        <v>34</v>
      </c>
      <c r="D744">
        <v>6311</v>
      </c>
      <c r="E744" t="str">
        <f t="shared" si="202"/>
        <v>00</v>
      </c>
      <c r="F744" t="str">
        <f t="shared" si="203"/>
        <v>999</v>
      </c>
      <c r="G744">
        <v>5</v>
      </c>
      <c r="H744" t="str">
        <f t="shared" si="204"/>
        <v>99</v>
      </c>
      <c r="I744" t="str">
        <f t="shared" si="195"/>
        <v>0</v>
      </c>
      <c r="J744" t="str">
        <f t="shared" si="201"/>
        <v>00</v>
      </c>
      <c r="K744">
        <v>20141216</v>
      </c>
      <c r="L744" t="str">
        <f>"014652"</f>
        <v>014652</v>
      </c>
      <c r="M744" t="str">
        <f>"00532"</f>
        <v>00532</v>
      </c>
      <c r="N744" t="s">
        <v>300</v>
      </c>
      <c r="O744">
        <v>-48.38</v>
      </c>
      <c r="Q744" t="s">
        <v>33</v>
      </c>
      <c r="R744" t="s">
        <v>34</v>
      </c>
      <c r="S744" t="s">
        <v>35</v>
      </c>
      <c r="T744" t="s">
        <v>35</v>
      </c>
      <c r="U744" t="s">
        <v>34</v>
      </c>
      <c r="V744" t="s">
        <v>110</v>
      </c>
      <c r="W744">
        <v>20141216</v>
      </c>
      <c r="X744" t="s">
        <v>301</v>
      </c>
      <c r="Y744" t="s">
        <v>518</v>
      </c>
      <c r="Z744" t="s">
        <v>518</v>
      </c>
      <c r="AA744">
        <v>0</v>
      </c>
      <c r="AB744" t="s">
        <v>142</v>
      </c>
      <c r="AC744" t="s">
        <v>143</v>
      </c>
      <c r="AD744" t="s">
        <v>112</v>
      </c>
      <c r="AE744" t="str">
        <f t="shared" si="194"/>
        <v>12</v>
      </c>
      <c r="AF744" t="s">
        <v>40</v>
      </c>
    </row>
    <row r="745" spans="1:32" x14ac:dyDescent="0.25">
      <c r="A745">
        <v>5</v>
      </c>
      <c r="B745">
        <v>420</v>
      </c>
      <c r="C745" t="str">
        <f>"34"</f>
        <v>34</v>
      </c>
      <c r="D745">
        <v>6249</v>
      </c>
      <c r="E745" t="str">
        <f t="shared" si="202"/>
        <v>00</v>
      </c>
      <c r="F745" t="str">
        <f t="shared" si="203"/>
        <v>999</v>
      </c>
      <c r="G745">
        <v>5</v>
      </c>
      <c r="H745" t="str">
        <f t="shared" si="204"/>
        <v>99</v>
      </c>
      <c r="I745" t="str">
        <f t="shared" si="195"/>
        <v>0</v>
      </c>
      <c r="J745" t="str">
        <f t="shared" si="201"/>
        <v>00</v>
      </c>
      <c r="K745">
        <v>20141216</v>
      </c>
      <c r="L745" t="str">
        <f>"014653"</f>
        <v>014653</v>
      </c>
      <c r="M745" t="str">
        <f>"00554"</f>
        <v>00554</v>
      </c>
      <c r="N745" t="s">
        <v>483</v>
      </c>
      <c r="O745">
        <v>274.43</v>
      </c>
      <c r="Q745" t="s">
        <v>33</v>
      </c>
      <c r="R745" t="s">
        <v>34</v>
      </c>
      <c r="S745" t="s">
        <v>35</v>
      </c>
      <c r="T745" t="s">
        <v>35</v>
      </c>
      <c r="U745" t="s">
        <v>34</v>
      </c>
      <c r="V745" t="str">
        <f>""</f>
        <v/>
      </c>
      <c r="W745">
        <v>20141210</v>
      </c>
      <c r="X745" t="s">
        <v>484</v>
      </c>
      <c r="Y745" t="s">
        <v>590</v>
      </c>
      <c r="Z745" t="s">
        <v>590</v>
      </c>
      <c r="AA745">
        <v>0</v>
      </c>
      <c r="AB745" t="s">
        <v>142</v>
      </c>
      <c r="AC745" t="s">
        <v>143</v>
      </c>
      <c r="AD745" t="s">
        <v>40</v>
      </c>
      <c r="AE745" t="str">
        <f t="shared" si="194"/>
        <v>12</v>
      </c>
      <c r="AF745" t="s">
        <v>40</v>
      </c>
    </row>
    <row r="746" spans="1:32" x14ac:dyDescent="0.25">
      <c r="A746">
        <v>5</v>
      </c>
      <c r="B746">
        <v>420</v>
      </c>
      <c r="C746" t="str">
        <f>"34"</f>
        <v>34</v>
      </c>
      <c r="D746">
        <v>6249</v>
      </c>
      <c r="E746" t="str">
        <f t="shared" si="202"/>
        <v>00</v>
      </c>
      <c r="F746" t="str">
        <f t="shared" si="203"/>
        <v>999</v>
      </c>
      <c r="G746">
        <v>5</v>
      </c>
      <c r="H746" t="str">
        <f t="shared" si="204"/>
        <v>99</v>
      </c>
      <c r="I746" t="str">
        <f t="shared" si="195"/>
        <v>0</v>
      </c>
      <c r="J746" t="str">
        <f t="shared" si="201"/>
        <v>00</v>
      </c>
      <c r="K746">
        <v>20141216</v>
      </c>
      <c r="L746" t="str">
        <f>"014653"</f>
        <v>014653</v>
      </c>
      <c r="M746" t="str">
        <f>"00554"</f>
        <v>00554</v>
      </c>
      <c r="N746" t="s">
        <v>483</v>
      </c>
      <c r="O746">
        <v>521.94000000000005</v>
      </c>
      <c r="Q746" t="s">
        <v>33</v>
      </c>
      <c r="R746" t="s">
        <v>34</v>
      </c>
      <c r="S746" t="s">
        <v>35</v>
      </c>
      <c r="T746" t="s">
        <v>35</v>
      </c>
      <c r="U746" t="s">
        <v>34</v>
      </c>
      <c r="V746" t="str">
        <f>""</f>
        <v/>
      </c>
      <c r="W746">
        <v>20141210</v>
      </c>
      <c r="X746" t="s">
        <v>484</v>
      </c>
      <c r="Y746" t="s">
        <v>591</v>
      </c>
      <c r="Z746" t="s">
        <v>591</v>
      </c>
      <c r="AA746">
        <v>0</v>
      </c>
      <c r="AB746" t="s">
        <v>142</v>
      </c>
      <c r="AC746" t="s">
        <v>143</v>
      </c>
      <c r="AD746" t="s">
        <v>40</v>
      </c>
      <c r="AE746" t="str">
        <f t="shared" si="194"/>
        <v>12</v>
      </c>
      <c r="AF746" t="s">
        <v>40</v>
      </c>
    </row>
    <row r="747" spans="1:32" x14ac:dyDescent="0.25">
      <c r="A747">
        <v>5</v>
      </c>
      <c r="B747">
        <v>240</v>
      </c>
      <c r="C747" t="str">
        <f t="shared" ref="C747:C752" si="205">"35"</f>
        <v>35</v>
      </c>
      <c r="D747">
        <v>6341</v>
      </c>
      <c r="E747" t="str">
        <f t="shared" si="202"/>
        <v>00</v>
      </c>
      <c r="F747" t="str">
        <f t="shared" si="203"/>
        <v>999</v>
      </c>
      <c r="G747">
        <v>5</v>
      </c>
      <c r="H747" t="str">
        <f t="shared" si="204"/>
        <v>99</v>
      </c>
      <c r="I747" t="str">
        <f t="shared" si="195"/>
        <v>0</v>
      </c>
      <c r="J747" t="str">
        <f t="shared" si="201"/>
        <v>00</v>
      </c>
      <c r="K747">
        <v>20141216</v>
      </c>
      <c r="L747" t="str">
        <f t="shared" ref="L747:L752" si="206">"014655"</f>
        <v>014655</v>
      </c>
      <c r="M747" t="str">
        <f t="shared" ref="M747:M752" si="207">"00391"</f>
        <v>00391</v>
      </c>
      <c r="N747" t="s">
        <v>265</v>
      </c>
      <c r="O747" s="1">
        <v>3482.91</v>
      </c>
      <c r="Q747" t="s">
        <v>33</v>
      </c>
      <c r="R747" t="s">
        <v>34</v>
      </c>
      <c r="S747" t="s">
        <v>35</v>
      </c>
      <c r="T747" t="s">
        <v>35</v>
      </c>
      <c r="U747" t="s">
        <v>34</v>
      </c>
      <c r="V747" t="str">
        <f>""</f>
        <v/>
      </c>
      <c r="W747">
        <v>20141210</v>
      </c>
      <c r="X747" t="s">
        <v>268</v>
      </c>
      <c r="Y747" t="s">
        <v>557</v>
      </c>
      <c r="Z747" t="s">
        <v>557</v>
      </c>
      <c r="AA747">
        <v>0</v>
      </c>
      <c r="AB747" t="s">
        <v>238</v>
      </c>
      <c r="AC747" t="s">
        <v>143</v>
      </c>
      <c r="AD747" t="s">
        <v>40</v>
      </c>
      <c r="AE747" t="str">
        <f t="shared" si="194"/>
        <v>12</v>
      </c>
      <c r="AF747" t="s">
        <v>40</v>
      </c>
    </row>
    <row r="748" spans="1:32" x14ac:dyDescent="0.25">
      <c r="A748">
        <v>5</v>
      </c>
      <c r="B748">
        <v>240</v>
      </c>
      <c r="C748" t="str">
        <f t="shared" si="205"/>
        <v>35</v>
      </c>
      <c r="D748">
        <v>6341</v>
      </c>
      <c r="E748" t="str">
        <f t="shared" si="202"/>
        <v>00</v>
      </c>
      <c r="F748" t="str">
        <f t="shared" si="203"/>
        <v>999</v>
      </c>
      <c r="G748">
        <v>5</v>
      </c>
      <c r="H748" t="str">
        <f t="shared" si="204"/>
        <v>99</v>
      </c>
      <c r="I748" t="str">
        <f t="shared" si="195"/>
        <v>0</v>
      </c>
      <c r="J748" t="str">
        <f t="shared" si="201"/>
        <v>00</v>
      </c>
      <c r="K748">
        <v>20141216</v>
      </c>
      <c r="L748" t="str">
        <f t="shared" si="206"/>
        <v>014655</v>
      </c>
      <c r="M748" t="str">
        <f t="shared" si="207"/>
        <v>00391</v>
      </c>
      <c r="N748" t="s">
        <v>265</v>
      </c>
      <c r="O748" s="1">
        <v>1676.76</v>
      </c>
      <c r="Q748" t="s">
        <v>33</v>
      </c>
      <c r="R748" t="s">
        <v>34</v>
      </c>
      <c r="S748" t="s">
        <v>35</v>
      </c>
      <c r="T748" t="s">
        <v>35</v>
      </c>
      <c r="U748" t="s">
        <v>34</v>
      </c>
      <c r="V748" t="str">
        <f>""</f>
        <v/>
      </c>
      <c r="W748">
        <v>20141210</v>
      </c>
      <c r="X748" t="s">
        <v>268</v>
      </c>
      <c r="Y748" t="s">
        <v>557</v>
      </c>
      <c r="Z748" t="s">
        <v>557</v>
      </c>
      <c r="AA748">
        <v>0</v>
      </c>
      <c r="AB748" t="s">
        <v>238</v>
      </c>
      <c r="AC748" t="s">
        <v>143</v>
      </c>
      <c r="AD748" t="s">
        <v>40</v>
      </c>
      <c r="AE748" t="str">
        <f t="shared" si="194"/>
        <v>12</v>
      </c>
      <c r="AF748" t="s">
        <v>40</v>
      </c>
    </row>
    <row r="749" spans="1:32" x14ac:dyDescent="0.25">
      <c r="A749">
        <v>5</v>
      </c>
      <c r="B749">
        <v>240</v>
      </c>
      <c r="C749" t="str">
        <f t="shared" si="205"/>
        <v>35</v>
      </c>
      <c r="D749">
        <v>6341</v>
      </c>
      <c r="E749" t="str">
        <f t="shared" si="202"/>
        <v>00</v>
      </c>
      <c r="F749" t="str">
        <f t="shared" si="203"/>
        <v>999</v>
      </c>
      <c r="G749">
        <v>5</v>
      </c>
      <c r="H749" t="str">
        <f t="shared" si="204"/>
        <v>99</v>
      </c>
      <c r="I749" t="str">
        <f t="shared" si="195"/>
        <v>0</v>
      </c>
      <c r="J749" t="str">
        <f t="shared" si="201"/>
        <v>00</v>
      </c>
      <c r="K749">
        <v>20141216</v>
      </c>
      <c r="L749" t="str">
        <f t="shared" si="206"/>
        <v>014655</v>
      </c>
      <c r="M749" t="str">
        <f t="shared" si="207"/>
        <v>00391</v>
      </c>
      <c r="N749" t="s">
        <v>265</v>
      </c>
      <c r="O749">
        <v>326.68</v>
      </c>
      <c r="Q749" t="s">
        <v>33</v>
      </c>
      <c r="R749" t="s">
        <v>34</v>
      </c>
      <c r="S749" t="s">
        <v>35</v>
      </c>
      <c r="T749" t="s">
        <v>35</v>
      </c>
      <c r="U749" t="s">
        <v>34</v>
      </c>
      <c r="V749" t="str">
        <f>""</f>
        <v/>
      </c>
      <c r="W749">
        <v>20141210</v>
      </c>
      <c r="X749" t="s">
        <v>268</v>
      </c>
      <c r="Y749" t="s">
        <v>557</v>
      </c>
      <c r="Z749" t="s">
        <v>557</v>
      </c>
      <c r="AA749">
        <v>0</v>
      </c>
      <c r="AB749" t="s">
        <v>238</v>
      </c>
      <c r="AC749" t="s">
        <v>143</v>
      </c>
      <c r="AD749" t="s">
        <v>40</v>
      </c>
      <c r="AE749" t="str">
        <f t="shared" si="194"/>
        <v>12</v>
      </c>
      <c r="AF749" t="s">
        <v>40</v>
      </c>
    </row>
    <row r="750" spans="1:32" x14ac:dyDescent="0.25">
      <c r="A750">
        <v>5</v>
      </c>
      <c r="B750">
        <v>240</v>
      </c>
      <c r="C750" t="str">
        <f t="shared" si="205"/>
        <v>35</v>
      </c>
      <c r="D750">
        <v>6341</v>
      </c>
      <c r="E750" t="str">
        <f t="shared" si="202"/>
        <v>00</v>
      </c>
      <c r="F750" t="str">
        <f t="shared" si="203"/>
        <v>999</v>
      </c>
      <c r="G750">
        <v>5</v>
      </c>
      <c r="H750" t="str">
        <f t="shared" si="204"/>
        <v>99</v>
      </c>
      <c r="I750" t="str">
        <f t="shared" si="195"/>
        <v>0</v>
      </c>
      <c r="J750" t="str">
        <f t="shared" si="201"/>
        <v>00</v>
      </c>
      <c r="K750">
        <v>20141216</v>
      </c>
      <c r="L750" t="str">
        <f t="shared" si="206"/>
        <v>014655</v>
      </c>
      <c r="M750" t="str">
        <f t="shared" si="207"/>
        <v>00391</v>
      </c>
      <c r="N750" t="s">
        <v>265</v>
      </c>
      <c r="O750">
        <v>78.7</v>
      </c>
      <c r="Q750" t="s">
        <v>33</v>
      </c>
      <c r="R750" t="s">
        <v>34</v>
      </c>
      <c r="S750" t="s">
        <v>35</v>
      </c>
      <c r="T750" t="s">
        <v>35</v>
      </c>
      <c r="U750" t="s">
        <v>34</v>
      </c>
      <c r="V750" t="str">
        <f>""</f>
        <v/>
      </c>
      <c r="W750">
        <v>20141216</v>
      </c>
      <c r="X750" t="s">
        <v>268</v>
      </c>
      <c r="Y750" t="s">
        <v>557</v>
      </c>
      <c r="Z750" t="s">
        <v>557</v>
      </c>
      <c r="AA750">
        <v>0</v>
      </c>
      <c r="AB750" t="s">
        <v>238</v>
      </c>
      <c r="AC750" t="s">
        <v>143</v>
      </c>
      <c r="AD750" t="s">
        <v>40</v>
      </c>
      <c r="AE750" t="str">
        <f t="shared" si="194"/>
        <v>12</v>
      </c>
      <c r="AF750" t="s">
        <v>40</v>
      </c>
    </row>
    <row r="751" spans="1:32" x14ac:dyDescent="0.25">
      <c r="A751">
        <v>5</v>
      </c>
      <c r="B751">
        <v>240</v>
      </c>
      <c r="C751" t="str">
        <f t="shared" si="205"/>
        <v>35</v>
      </c>
      <c r="D751">
        <v>6342</v>
      </c>
      <c r="E751" t="str">
        <f t="shared" si="202"/>
        <v>00</v>
      </c>
      <c r="F751" t="str">
        <f t="shared" si="203"/>
        <v>999</v>
      </c>
      <c r="G751">
        <v>5</v>
      </c>
      <c r="H751" t="str">
        <f t="shared" si="204"/>
        <v>99</v>
      </c>
      <c r="I751" t="str">
        <f t="shared" si="195"/>
        <v>0</v>
      </c>
      <c r="J751" t="str">
        <f t="shared" si="201"/>
        <v>00</v>
      </c>
      <c r="K751">
        <v>20141216</v>
      </c>
      <c r="L751" t="str">
        <f t="shared" si="206"/>
        <v>014655</v>
      </c>
      <c r="M751" t="str">
        <f t="shared" si="207"/>
        <v>00391</v>
      </c>
      <c r="N751" t="s">
        <v>265</v>
      </c>
      <c r="O751">
        <v>495.77</v>
      </c>
      <c r="Q751" t="s">
        <v>33</v>
      </c>
      <c r="R751" t="s">
        <v>34</v>
      </c>
      <c r="S751" t="s">
        <v>35</v>
      </c>
      <c r="T751" t="s">
        <v>35</v>
      </c>
      <c r="U751" t="s">
        <v>34</v>
      </c>
      <c r="V751" t="str">
        <f>""</f>
        <v/>
      </c>
      <c r="W751">
        <v>20141210</v>
      </c>
      <c r="X751" t="s">
        <v>269</v>
      </c>
      <c r="Y751" t="s">
        <v>557</v>
      </c>
      <c r="Z751" t="s">
        <v>557</v>
      </c>
      <c r="AA751">
        <v>0</v>
      </c>
      <c r="AB751" t="s">
        <v>238</v>
      </c>
      <c r="AC751" t="s">
        <v>143</v>
      </c>
      <c r="AD751" t="s">
        <v>40</v>
      </c>
      <c r="AE751" t="str">
        <f t="shared" si="194"/>
        <v>12</v>
      </c>
      <c r="AF751" t="s">
        <v>40</v>
      </c>
    </row>
    <row r="752" spans="1:32" x14ac:dyDescent="0.25">
      <c r="A752">
        <v>5</v>
      </c>
      <c r="B752">
        <v>240</v>
      </c>
      <c r="C752" t="str">
        <f t="shared" si="205"/>
        <v>35</v>
      </c>
      <c r="D752">
        <v>6349</v>
      </c>
      <c r="E752" t="str">
        <f t="shared" si="202"/>
        <v>00</v>
      </c>
      <c r="F752" t="str">
        <f t="shared" si="203"/>
        <v>999</v>
      </c>
      <c r="G752">
        <v>5</v>
      </c>
      <c r="H752" t="str">
        <f t="shared" si="204"/>
        <v>99</v>
      </c>
      <c r="I752" t="str">
        <f t="shared" si="195"/>
        <v>0</v>
      </c>
      <c r="J752" t="str">
        <f t="shared" si="201"/>
        <v>00</v>
      </c>
      <c r="K752">
        <v>20141216</v>
      </c>
      <c r="L752" t="str">
        <f t="shared" si="206"/>
        <v>014655</v>
      </c>
      <c r="M752" t="str">
        <f t="shared" si="207"/>
        <v>00391</v>
      </c>
      <c r="N752" t="s">
        <v>265</v>
      </c>
      <c r="O752">
        <v>48.17</v>
      </c>
      <c r="Q752" t="s">
        <v>33</v>
      </c>
      <c r="R752" t="s">
        <v>34</v>
      </c>
      <c r="S752" t="s">
        <v>35</v>
      </c>
      <c r="T752" t="s">
        <v>35</v>
      </c>
      <c r="U752" t="s">
        <v>34</v>
      </c>
      <c r="V752" t="str">
        <f>""</f>
        <v/>
      </c>
      <c r="W752">
        <v>20141210</v>
      </c>
      <c r="X752" t="s">
        <v>236</v>
      </c>
      <c r="Y752" t="s">
        <v>557</v>
      </c>
      <c r="Z752" t="s">
        <v>557</v>
      </c>
      <c r="AA752">
        <v>0</v>
      </c>
      <c r="AB752" t="s">
        <v>238</v>
      </c>
      <c r="AC752" t="s">
        <v>143</v>
      </c>
      <c r="AD752" t="s">
        <v>40</v>
      </c>
      <c r="AE752" t="str">
        <f t="shared" si="194"/>
        <v>12</v>
      </c>
      <c r="AF752" t="s">
        <v>40</v>
      </c>
    </row>
    <row r="753" spans="1:32" x14ac:dyDescent="0.25">
      <c r="A753">
        <v>5</v>
      </c>
      <c r="B753">
        <v>420</v>
      </c>
      <c r="C753" t="str">
        <f>"51"</f>
        <v>51</v>
      </c>
      <c r="D753">
        <v>6259</v>
      </c>
      <c r="E753" t="str">
        <f>"54"</f>
        <v>54</v>
      </c>
      <c r="F753" t="str">
        <f t="shared" si="203"/>
        <v>999</v>
      </c>
      <c r="G753">
        <v>5</v>
      </c>
      <c r="H753" t="str">
        <f t="shared" si="204"/>
        <v>99</v>
      </c>
      <c r="I753" t="str">
        <f t="shared" si="195"/>
        <v>0</v>
      </c>
      <c r="J753" t="str">
        <f t="shared" si="201"/>
        <v>00</v>
      </c>
      <c r="K753">
        <v>20141216</v>
      </c>
      <c r="L753" t="str">
        <f>"014656"</f>
        <v>014656</v>
      </c>
      <c r="M753" t="str">
        <f>"00591"</f>
        <v>00591</v>
      </c>
      <c r="N753" t="s">
        <v>272</v>
      </c>
      <c r="O753" s="1">
        <v>2172.16</v>
      </c>
      <c r="Q753" t="s">
        <v>33</v>
      </c>
      <c r="R753" t="s">
        <v>34</v>
      </c>
      <c r="S753" t="s">
        <v>35</v>
      </c>
      <c r="T753" t="s">
        <v>35</v>
      </c>
      <c r="U753" t="s">
        <v>34</v>
      </c>
      <c r="V753" t="str">
        <f>""</f>
        <v/>
      </c>
      <c r="W753">
        <v>20141216</v>
      </c>
      <c r="X753" t="s">
        <v>216</v>
      </c>
      <c r="Y753" t="s">
        <v>542</v>
      </c>
      <c r="Z753" t="s">
        <v>542</v>
      </c>
      <c r="AA753">
        <v>0</v>
      </c>
      <c r="AB753" t="s">
        <v>142</v>
      </c>
      <c r="AC753" t="s">
        <v>143</v>
      </c>
      <c r="AD753" t="s">
        <v>40</v>
      </c>
      <c r="AE753" t="str">
        <f t="shared" si="194"/>
        <v>12</v>
      </c>
      <c r="AF753" t="s">
        <v>40</v>
      </c>
    </row>
    <row r="754" spans="1:32" x14ac:dyDescent="0.25">
      <c r="A754">
        <v>5</v>
      </c>
      <c r="B754">
        <v>240</v>
      </c>
      <c r="C754" t="str">
        <f>"35"</f>
        <v>35</v>
      </c>
      <c r="D754">
        <v>6299</v>
      </c>
      <c r="E754" t="str">
        <f t="shared" ref="E754:E787" si="208">"00"</f>
        <v>00</v>
      </c>
      <c r="F754" t="str">
        <f t="shared" si="203"/>
        <v>999</v>
      </c>
      <c r="G754">
        <v>5</v>
      </c>
      <c r="H754" t="str">
        <f t="shared" si="204"/>
        <v>99</v>
      </c>
      <c r="I754" t="str">
        <f t="shared" si="195"/>
        <v>0</v>
      </c>
      <c r="J754" t="str">
        <f t="shared" si="201"/>
        <v>00</v>
      </c>
      <c r="K754">
        <v>20141216</v>
      </c>
      <c r="L754" t="str">
        <f>"014657"</f>
        <v>014657</v>
      </c>
      <c r="M754" t="str">
        <f>"00577"</f>
        <v>00577</v>
      </c>
      <c r="N754" t="s">
        <v>251</v>
      </c>
      <c r="O754">
        <v>40.229999999999997</v>
      </c>
      <c r="Q754" t="s">
        <v>33</v>
      </c>
      <c r="R754" t="s">
        <v>34</v>
      </c>
      <c r="S754" t="s">
        <v>35</v>
      </c>
      <c r="T754" t="s">
        <v>35</v>
      </c>
      <c r="U754" t="s">
        <v>34</v>
      </c>
      <c r="V754" t="str">
        <f>""</f>
        <v/>
      </c>
      <c r="W754">
        <v>20141216</v>
      </c>
      <c r="X754" t="s">
        <v>252</v>
      </c>
      <c r="Y754" t="s">
        <v>253</v>
      </c>
      <c r="Z754" t="s">
        <v>253</v>
      </c>
      <c r="AA754">
        <v>0</v>
      </c>
      <c r="AB754" t="s">
        <v>238</v>
      </c>
      <c r="AC754" t="s">
        <v>143</v>
      </c>
      <c r="AD754" t="s">
        <v>40</v>
      </c>
      <c r="AE754" t="str">
        <f t="shared" si="194"/>
        <v>12</v>
      </c>
      <c r="AF754" t="s">
        <v>40</v>
      </c>
    </row>
    <row r="755" spans="1:32" x14ac:dyDescent="0.25">
      <c r="A755">
        <v>5</v>
      </c>
      <c r="B755">
        <v>420</v>
      </c>
      <c r="C755" t="str">
        <f>"51"</f>
        <v>51</v>
      </c>
      <c r="D755">
        <v>6299</v>
      </c>
      <c r="E755" t="str">
        <f t="shared" si="208"/>
        <v>00</v>
      </c>
      <c r="F755" t="str">
        <f t="shared" si="203"/>
        <v>999</v>
      </c>
      <c r="G755">
        <v>5</v>
      </c>
      <c r="H755" t="str">
        <f t="shared" si="204"/>
        <v>99</v>
      </c>
      <c r="I755" t="str">
        <f t="shared" si="195"/>
        <v>0</v>
      </c>
      <c r="J755" t="str">
        <f t="shared" si="201"/>
        <v>00</v>
      </c>
      <c r="K755">
        <v>20141216</v>
      </c>
      <c r="L755" t="str">
        <f>"014657"</f>
        <v>014657</v>
      </c>
      <c r="M755" t="str">
        <f>"00577"</f>
        <v>00577</v>
      </c>
      <c r="N755" t="s">
        <v>251</v>
      </c>
      <c r="O755">
        <v>63.72</v>
      </c>
      <c r="Q755" t="s">
        <v>33</v>
      </c>
      <c r="R755" t="s">
        <v>34</v>
      </c>
      <c r="S755" t="s">
        <v>35</v>
      </c>
      <c r="T755" t="s">
        <v>35</v>
      </c>
      <c r="U755" t="s">
        <v>34</v>
      </c>
      <c r="V755" t="str">
        <f>""</f>
        <v/>
      </c>
      <c r="W755">
        <v>20141216</v>
      </c>
      <c r="X755" t="s">
        <v>203</v>
      </c>
      <c r="Y755" t="s">
        <v>253</v>
      </c>
      <c r="Z755" t="s">
        <v>253</v>
      </c>
      <c r="AA755">
        <v>0</v>
      </c>
      <c r="AB755" t="s">
        <v>142</v>
      </c>
      <c r="AC755" t="s">
        <v>143</v>
      </c>
      <c r="AD755" t="s">
        <v>40</v>
      </c>
      <c r="AE755" t="str">
        <f t="shared" si="194"/>
        <v>12</v>
      </c>
      <c r="AF755" t="s">
        <v>40</v>
      </c>
    </row>
    <row r="756" spans="1:32" x14ac:dyDescent="0.25">
      <c r="A756">
        <v>5</v>
      </c>
      <c r="B756">
        <v>420</v>
      </c>
      <c r="C756" t="str">
        <f>"41"</f>
        <v>41</v>
      </c>
      <c r="D756">
        <v>6219</v>
      </c>
      <c r="E756" t="str">
        <f t="shared" si="208"/>
        <v>00</v>
      </c>
      <c r="F756" t="str">
        <f>"750"</f>
        <v>750</v>
      </c>
      <c r="G756">
        <v>5</v>
      </c>
      <c r="H756" t="str">
        <f t="shared" si="204"/>
        <v>99</v>
      </c>
      <c r="I756" t="str">
        <f t="shared" si="195"/>
        <v>0</v>
      </c>
      <c r="J756" t="str">
        <f t="shared" si="201"/>
        <v>00</v>
      </c>
      <c r="K756">
        <v>20141216</v>
      </c>
      <c r="L756" t="str">
        <f>"014658"</f>
        <v>014658</v>
      </c>
      <c r="M756" t="str">
        <f>"00377"</f>
        <v>00377</v>
      </c>
      <c r="N756" t="s">
        <v>254</v>
      </c>
      <c r="O756">
        <v>42.4</v>
      </c>
      <c r="Q756" t="s">
        <v>33</v>
      </c>
      <c r="R756" t="s">
        <v>34</v>
      </c>
      <c r="S756" t="s">
        <v>35</v>
      </c>
      <c r="T756" t="s">
        <v>35</v>
      </c>
      <c r="U756" t="s">
        <v>34</v>
      </c>
      <c r="V756" t="str">
        <f>""</f>
        <v/>
      </c>
      <c r="W756">
        <v>20141216</v>
      </c>
      <c r="X756" t="s">
        <v>255</v>
      </c>
      <c r="Y756" t="s">
        <v>592</v>
      </c>
      <c r="Z756" t="s">
        <v>592</v>
      </c>
      <c r="AA756">
        <v>0</v>
      </c>
      <c r="AB756" t="s">
        <v>142</v>
      </c>
      <c r="AC756" t="s">
        <v>170</v>
      </c>
      <c r="AD756" t="s">
        <v>40</v>
      </c>
      <c r="AE756" t="str">
        <f t="shared" si="194"/>
        <v>12</v>
      </c>
      <c r="AF756" t="s">
        <v>40</v>
      </c>
    </row>
    <row r="757" spans="1:32" x14ac:dyDescent="0.25">
      <c r="A757">
        <v>5</v>
      </c>
      <c r="B757">
        <v>420</v>
      </c>
      <c r="C757" t="str">
        <f>"53"</f>
        <v>53</v>
      </c>
      <c r="D757">
        <v>6399</v>
      </c>
      <c r="E757" t="str">
        <f t="shared" si="208"/>
        <v>00</v>
      </c>
      <c r="F757" t="str">
        <f>"999"</f>
        <v>999</v>
      </c>
      <c r="G757">
        <v>5</v>
      </c>
      <c r="H757" t="str">
        <f t="shared" si="204"/>
        <v>99</v>
      </c>
      <c r="I757" t="str">
        <f t="shared" si="195"/>
        <v>0</v>
      </c>
      <c r="J757" t="str">
        <f t="shared" si="201"/>
        <v>00</v>
      </c>
      <c r="K757">
        <v>20141219</v>
      </c>
      <c r="L757" t="str">
        <f>"014659"</f>
        <v>014659</v>
      </c>
      <c r="M757" t="str">
        <f>"00628"</f>
        <v>00628</v>
      </c>
      <c r="N757" t="s">
        <v>212</v>
      </c>
      <c r="O757" s="1">
        <v>1550</v>
      </c>
      <c r="Q757" t="s">
        <v>33</v>
      </c>
      <c r="R757" t="s">
        <v>34</v>
      </c>
      <c r="S757" t="s">
        <v>35</v>
      </c>
      <c r="T757" t="s">
        <v>35</v>
      </c>
      <c r="U757" t="s">
        <v>34</v>
      </c>
      <c r="V757" t="str">
        <f>""</f>
        <v/>
      </c>
      <c r="W757">
        <v>20141218</v>
      </c>
      <c r="X757" t="s">
        <v>400</v>
      </c>
      <c r="Y757" t="s">
        <v>593</v>
      </c>
      <c r="Z757" t="s">
        <v>593</v>
      </c>
      <c r="AA757">
        <v>0</v>
      </c>
      <c r="AB757" t="s">
        <v>142</v>
      </c>
      <c r="AC757" t="s">
        <v>143</v>
      </c>
      <c r="AD757" t="s">
        <v>40</v>
      </c>
      <c r="AE757" t="str">
        <f t="shared" si="194"/>
        <v>12</v>
      </c>
      <c r="AF757" t="s">
        <v>40</v>
      </c>
    </row>
    <row r="758" spans="1:32" x14ac:dyDescent="0.25">
      <c r="A758">
        <v>5</v>
      </c>
      <c r="B758">
        <v>211</v>
      </c>
      <c r="C758" t="str">
        <f t="shared" ref="C758:C766" si="209">"11"</f>
        <v>11</v>
      </c>
      <c r="D758">
        <v>6399</v>
      </c>
      <c r="E758" t="str">
        <f t="shared" si="208"/>
        <v>00</v>
      </c>
      <c r="F758" t="str">
        <f>"101"</f>
        <v>101</v>
      </c>
      <c r="G758">
        <v>5</v>
      </c>
      <c r="H758" t="str">
        <f>"30"</f>
        <v>30</v>
      </c>
      <c r="I758" t="str">
        <f t="shared" si="195"/>
        <v>0</v>
      </c>
      <c r="J758" t="str">
        <f t="shared" si="201"/>
        <v>00</v>
      </c>
      <c r="K758">
        <v>20141219</v>
      </c>
      <c r="L758" t="str">
        <f t="shared" ref="L758:L785" si="210">"014660"</f>
        <v>014660</v>
      </c>
      <c r="M758" t="str">
        <f t="shared" ref="M758:M785" si="211">"00015"</f>
        <v>00015</v>
      </c>
      <c r="N758" t="s">
        <v>44</v>
      </c>
      <c r="O758">
        <v>944.45</v>
      </c>
      <c r="Q758" t="s">
        <v>33</v>
      </c>
      <c r="R758" t="s">
        <v>34</v>
      </c>
      <c r="S758" t="s">
        <v>35</v>
      </c>
      <c r="T758" t="s">
        <v>35</v>
      </c>
      <c r="U758" t="s">
        <v>34</v>
      </c>
      <c r="V758" t="str">
        <f>""</f>
        <v/>
      </c>
      <c r="W758">
        <v>20141216</v>
      </c>
      <c r="X758" t="s">
        <v>422</v>
      </c>
      <c r="Y758" t="s">
        <v>522</v>
      </c>
      <c r="Z758" t="s">
        <v>522</v>
      </c>
      <c r="AA758">
        <v>0</v>
      </c>
      <c r="AB758" t="s">
        <v>174</v>
      </c>
      <c r="AC758" t="s">
        <v>41</v>
      </c>
      <c r="AD758" t="s">
        <v>40</v>
      </c>
      <c r="AE758" t="str">
        <f t="shared" si="194"/>
        <v>12</v>
      </c>
      <c r="AF758" t="s">
        <v>40</v>
      </c>
    </row>
    <row r="759" spans="1:32" x14ac:dyDescent="0.25">
      <c r="A759">
        <v>5</v>
      </c>
      <c r="B759">
        <v>244</v>
      </c>
      <c r="C759" t="str">
        <f t="shared" si="209"/>
        <v>11</v>
      </c>
      <c r="D759">
        <v>6399</v>
      </c>
      <c r="E759" t="str">
        <f t="shared" si="208"/>
        <v>00</v>
      </c>
      <c r="F759" t="str">
        <f>"001"</f>
        <v>001</v>
      </c>
      <c r="G759">
        <v>5</v>
      </c>
      <c r="H759" t="str">
        <f>"22"</f>
        <v>22</v>
      </c>
      <c r="I759" t="str">
        <f t="shared" si="195"/>
        <v>0</v>
      </c>
      <c r="J759" t="str">
        <f t="shared" si="201"/>
        <v>00</v>
      </c>
      <c r="K759">
        <v>20141219</v>
      </c>
      <c r="L759" t="str">
        <f t="shared" si="210"/>
        <v>014660</v>
      </c>
      <c r="M759" t="str">
        <f t="shared" si="211"/>
        <v>00015</v>
      </c>
      <c r="N759" t="s">
        <v>44</v>
      </c>
      <c r="O759">
        <v>42.19</v>
      </c>
      <c r="Q759" t="s">
        <v>33</v>
      </c>
      <c r="R759" t="s">
        <v>34</v>
      </c>
      <c r="S759" t="s">
        <v>35</v>
      </c>
      <c r="T759" t="s">
        <v>35</v>
      </c>
      <c r="U759" t="s">
        <v>34</v>
      </c>
      <c r="V759" t="str">
        <f>""</f>
        <v/>
      </c>
      <c r="W759">
        <v>20141216</v>
      </c>
      <c r="X759" t="s">
        <v>594</v>
      </c>
      <c r="Y759" t="s">
        <v>595</v>
      </c>
      <c r="Z759" t="s">
        <v>595</v>
      </c>
      <c r="AA759">
        <v>0</v>
      </c>
      <c r="AB759" t="s">
        <v>596</v>
      </c>
      <c r="AC759" t="s">
        <v>41</v>
      </c>
      <c r="AD759" t="s">
        <v>40</v>
      </c>
      <c r="AE759" t="str">
        <f t="shared" si="194"/>
        <v>12</v>
      </c>
      <c r="AF759" t="s">
        <v>40</v>
      </c>
    </row>
    <row r="760" spans="1:32" x14ac:dyDescent="0.25">
      <c r="A760">
        <v>5</v>
      </c>
      <c r="B760">
        <v>244</v>
      </c>
      <c r="C760" t="str">
        <f t="shared" si="209"/>
        <v>11</v>
      </c>
      <c r="D760">
        <v>6399</v>
      </c>
      <c r="E760" t="str">
        <f t="shared" si="208"/>
        <v>00</v>
      </c>
      <c r="F760" t="str">
        <f>"001"</f>
        <v>001</v>
      </c>
      <c r="G760">
        <v>5</v>
      </c>
      <c r="H760" t="str">
        <f>"22"</f>
        <v>22</v>
      </c>
      <c r="I760" t="str">
        <f t="shared" si="195"/>
        <v>0</v>
      </c>
      <c r="J760" t="str">
        <f t="shared" si="201"/>
        <v>00</v>
      </c>
      <c r="K760">
        <v>20141219</v>
      </c>
      <c r="L760" t="str">
        <f t="shared" si="210"/>
        <v>014660</v>
      </c>
      <c r="M760" t="str">
        <f t="shared" si="211"/>
        <v>00015</v>
      </c>
      <c r="N760" t="s">
        <v>44</v>
      </c>
      <c r="O760">
        <v>959.79</v>
      </c>
      <c r="Q760" t="s">
        <v>33</v>
      </c>
      <c r="R760" t="s">
        <v>34</v>
      </c>
      <c r="S760" t="s">
        <v>35</v>
      </c>
      <c r="T760" t="s">
        <v>35</v>
      </c>
      <c r="U760" t="s">
        <v>34</v>
      </c>
      <c r="V760" t="str">
        <f>""</f>
        <v/>
      </c>
      <c r="W760">
        <v>20141216</v>
      </c>
      <c r="X760" t="s">
        <v>594</v>
      </c>
      <c r="Y760" t="s">
        <v>597</v>
      </c>
      <c r="Z760" t="s">
        <v>597</v>
      </c>
      <c r="AA760">
        <v>0</v>
      </c>
      <c r="AB760" t="s">
        <v>596</v>
      </c>
      <c r="AC760" t="s">
        <v>41</v>
      </c>
      <c r="AD760" t="s">
        <v>40</v>
      </c>
      <c r="AE760" t="str">
        <f t="shared" si="194"/>
        <v>12</v>
      </c>
      <c r="AF760" t="s">
        <v>40</v>
      </c>
    </row>
    <row r="761" spans="1:32" x14ac:dyDescent="0.25">
      <c r="A761">
        <v>5</v>
      </c>
      <c r="B761">
        <v>420</v>
      </c>
      <c r="C761" t="str">
        <f t="shared" si="209"/>
        <v>11</v>
      </c>
      <c r="D761">
        <v>6399</v>
      </c>
      <c r="E761" t="str">
        <f t="shared" si="208"/>
        <v>00</v>
      </c>
      <c r="F761" t="str">
        <f>"001"</f>
        <v>001</v>
      </c>
      <c r="G761">
        <v>5</v>
      </c>
      <c r="H761" t="str">
        <f t="shared" ref="H761:H766" si="212">"11"</f>
        <v>11</v>
      </c>
      <c r="I761" t="str">
        <f t="shared" si="195"/>
        <v>0</v>
      </c>
      <c r="J761" t="str">
        <f t="shared" si="201"/>
        <v>00</v>
      </c>
      <c r="K761">
        <v>20141219</v>
      </c>
      <c r="L761" t="str">
        <f t="shared" si="210"/>
        <v>014660</v>
      </c>
      <c r="M761" t="str">
        <f t="shared" si="211"/>
        <v>00015</v>
      </c>
      <c r="N761" t="s">
        <v>44</v>
      </c>
      <c r="O761">
        <v>66.2</v>
      </c>
      <c r="Q761" t="s">
        <v>33</v>
      </c>
      <c r="R761" t="s">
        <v>34</v>
      </c>
      <c r="S761" t="s">
        <v>35</v>
      </c>
      <c r="T761" t="s">
        <v>35</v>
      </c>
      <c r="U761" t="s">
        <v>34</v>
      </c>
      <c r="V761" t="str">
        <f>""</f>
        <v/>
      </c>
      <c r="W761">
        <v>20141216</v>
      </c>
      <c r="X761" t="s">
        <v>239</v>
      </c>
      <c r="Y761" t="s">
        <v>461</v>
      </c>
      <c r="Z761" t="s">
        <v>461</v>
      </c>
      <c r="AA761">
        <v>0</v>
      </c>
      <c r="AB761" t="s">
        <v>142</v>
      </c>
      <c r="AC761" t="s">
        <v>41</v>
      </c>
      <c r="AD761" t="s">
        <v>40</v>
      </c>
      <c r="AE761" t="str">
        <f t="shared" si="194"/>
        <v>12</v>
      </c>
      <c r="AF761" t="s">
        <v>40</v>
      </c>
    </row>
    <row r="762" spans="1:32" x14ac:dyDescent="0.25">
      <c r="A762">
        <v>5</v>
      </c>
      <c r="B762">
        <v>420</v>
      </c>
      <c r="C762" t="str">
        <f t="shared" si="209"/>
        <v>11</v>
      </c>
      <c r="D762">
        <v>6399</v>
      </c>
      <c r="E762" t="str">
        <f t="shared" si="208"/>
        <v>00</v>
      </c>
      <c r="F762" t="str">
        <f>"001"</f>
        <v>001</v>
      </c>
      <c r="G762">
        <v>5</v>
      </c>
      <c r="H762" t="str">
        <f t="shared" si="212"/>
        <v>11</v>
      </c>
      <c r="I762" t="str">
        <f t="shared" si="195"/>
        <v>0</v>
      </c>
      <c r="J762" t="str">
        <f t="shared" si="201"/>
        <v>00</v>
      </c>
      <c r="K762">
        <v>20141219</v>
      </c>
      <c r="L762" t="str">
        <f t="shared" si="210"/>
        <v>014660</v>
      </c>
      <c r="M762" t="str">
        <f t="shared" si="211"/>
        <v>00015</v>
      </c>
      <c r="N762" t="s">
        <v>44</v>
      </c>
      <c r="O762">
        <v>15.36</v>
      </c>
      <c r="Q762" t="s">
        <v>33</v>
      </c>
      <c r="R762" t="s">
        <v>34</v>
      </c>
      <c r="S762" t="s">
        <v>35</v>
      </c>
      <c r="T762" t="s">
        <v>35</v>
      </c>
      <c r="U762" t="s">
        <v>34</v>
      </c>
      <c r="V762" t="str">
        <f>""</f>
        <v/>
      </c>
      <c r="W762">
        <v>20141216</v>
      </c>
      <c r="X762" t="s">
        <v>239</v>
      </c>
      <c r="Y762" t="s">
        <v>598</v>
      </c>
      <c r="Z762" t="s">
        <v>598</v>
      </c>
      <c r="AA762">
        <v>0</v>
      </c>
      <c r="AB762" t="s">
        <v>142</v>
      </c>
      <c r="AC762" t="s">
        <v>41</v>
      </c>
      <c r="AD762" t="s">
        <v>40</v>
      </c>
      <c r="AE762" t="str">
        <f t="shared" si="194"/>
        <v>12</v>
      </c>
      <c r="AF762" t="s">
        <v>40</v>
      </c>
    </row>
    <row r="763" spans="1:32" x14ac:dyDescent="0.25">
      <c r="A763">
        <v>5</v>
      </c>
      <c r="B763">
        <v>420</v>
      </c>
      <c r="C763" t="str">
        <f t="shared" si="209"/>
        <v>11</v>
      </c>
      <c r="D763">
        <v>6399</v>
      </c>
      <c r="E763" t="str">
        <f t="shared" si="208"/>
        <v>00</v>
      </c>
      <c r="F763" t="str">
        <f>"041"</f>
        <v>041</v>
      </c>
      <c r="G763">
        <v>5</v>
      </c>
      <c r="H763" t="str">
        <f t="shared" si="212"/>
        <v>11</v>
      </c>
      <c r="I763" t="str">
        <f t="shared" si="195"/>
        <v>0</v>
      </c>
      <c r="J763" t="str">
        <f t="shared" si="201"/>
        <v>00</v>
      </c>
      <c r="K763">
        <v>20141219</v>
      </c>
      <c r="L763" t="str">
        <f t="shared" si="210"/>
        <v>014660</v>
      </c>
      <c r="M763" t="str">
        <f t="shared" si="211"/>
        <v>00015</v>
      </c>
      <c r="N763" t="s">
        <v>44</v>
      </c>
      <c r="O763">
        <v>67.19</v>
      </c>
      <c r="Q763" t="s">
        <v>33</v>
      </c>
      <c r="R763" t="s">
        <v>34</v>
      </c>
      <c r="S763" t="s">
        <v>35</v>
      </c>
      <c r="T763" t="s">
        <v>35</v>
      </c>
      <c r="U763" t="s">
        <v>34</v>
      </c>
      <c r="V763" t="str">
        <f>""</f>
        <v/>
      </c>
      <c r="W763">
        <v>20141216</v>
      </c>
      <c r="X763" t="s">
        <v>241</v>
      </c>
      <c r="Y763" t="s">
        <v>461</v>
      </c>
      <c r="Z763" t="s">
        <v>461</v>
      </c>
      <c r="AA763">
        <v>0</v>
      </c>
      <c r="AB763" t="s">
        <v>142</v>
      </c>
      <c r="AC763" t="s">
        <v>41</v>
      </c>
      <c r="AD763" t="s">
        <v>40</v>
      </c>
      <c r="AE763" t="str">
        <f t="shared" si="194"/>
        <v>12</v>
      </c>
      <c r="AF763" t="s">
        <v>40</v>
      </c>
    </row>
    <row r="764" spans="1:32" x14ac:dyDescent="0.25">
      <c r="A764">
        <v>5</v>
      </c>
      <c r="B764">
        <v>420</v>
      </c>
      <c r="C764" t="str">
        <f t="shared" si="209"/>
        <v>11</v>
      </c>
      <c r="D764">
        <v>6399</v>
      </c>
      <c r="E764" t="str">
        <f t="shared" si="208"/>
        <v>00</v>
      </c>
      <c r="F764" t="str">
        <f>"041"</f>
        <v>041</v>
      </c>
      <c r="G764">
        <v>5</v>
      </c>
      <c r="H764" t="str">
        <f t="shared" si="212"/>
        <v>11</v>
      </c>
      <c r="I764" t="str">
        <f t="shared" si="195"/>
        <v>0</v>
      </c>
      <c r="J764" t="str">
        <f t="shared" si="201"/>
        <v>00</v>
      </c>
      <c r="K764">
        <v>20141219</v>
      </c>
      <c r="L764" t="str">
        <f t="shared" si="210"/>
        <v>014660</v>
      </c>
      <c r="M764" t="str">
        <f t="shared" si="211"/>
        <v>00015</v>
      </c>
      <c r="N764" t="s">
        <v>44</v>
      </c>
      <c r="O764">
        <v>15.36</v>
      </c>
      <c r="Q764" t="s">
        <v>33</v>
      </c>
      <c r="R764" t="s">
        <v>34</v>
      </c>
      <c r="S764" t="s">
        <v>35</v>
      </c>
      <c r="T764" t="s">
        <v>35</v>
      </c>
      <c r="U764" t="s">
        <v>34</v>
      </c>
      <c r="V764" t="str">
        <f>""</f>
        <v/>
      </c>
      <c r="W764">
        <v>20141216</v>
      </c>
      <c r="X764" t="s">
        <v>241</v>
      </c>
      <c r="Y764" t="s">
        <v>598</v>
      </c>
      <c r="Z764" t="s">
        <v>598</v>
      </c>
      <c r="AA764">
        <v>0</v>
      </c>
      <c r="AB764" t="s">
        <v>142</v>
      </c>
      <c r="AC764" t="s">
        <v>41</v>
      </c>
      <c r="AD764" t="s">
        <v>40</v>
      </c>
      <c r="AE764" t="str">
        <f t="shared" si="194"/>
        <v>12</v>
      </c>
      <c r="AF764" t="s">
        <v>40</v>
      </c>
    </row>
    <row r="765" spans="1:32" x14ac:dyDescent="0.25">
      <c r="A765">
        <v>5</v>
      </c>
      <c r="B765">
        <v>420</v>
      </c>
      <c r="C765" t="str">
        <f t="shared" si="209"/>
        <v>11</v>
      </c>
      <c r="D765">
        <v>6399</v>
      </c>
      <c r="E765" t="str">
        <f t="shared" si="208"/>
        <v>00</v>
      </c>
      <c r="F765" t="str">
        <f>"101"</f>
        <v>101</v>
      </c>
      <c r="G765">
        <v>5</v>
      </c>
      <c r="H765" t="str">
        <f t="shared" si="212"/>
        <v>11</v>
      </c>
      <c r="I765" t="str">
        <f t="shared" si="195"/>
        <v>0</v>
      </c>
      <c r="J765" t="str">
        <f t="shared" si="201"/>
        <v>00</v>
      </c>
      <c r="K765">
        <v>20141219</v>
      </c>
      <c r="L765" t="str">
        <f t="shared" si="210"/>
        <v>014660</v>
      </c>
      <c r="M765" t="str">
        <f t="shared" si="211"/>
        <v>00015</v>
      </c>
      <c r="N765" t="s">
        <v>44</v>
      </c>
      <c r="O765">
        <v>286.10000000000002</v>
      </c>
      <c r="Q765" t="s">
        <v>33</v>
      </c>
      <c r="R765" t="s">
        <v>34</v>
      </c>
      <c r="S765" t="s">
        <v>35</v>
      </c>
      <c r="T765" t="s">
        <v>35</v>
      </c>
      <c r="U765" t="s">
        <v>34</v>
      </c>
      <c r="V765" t="str">
        <f>""</f>
        <v/>
      </c>
      <c r="W765">
        <v>20141216</v>
      </c>
      <c r="X765" t="s">
        <v>246</v>
      </c>
      <c r="Y765" t="s">
        <v>461</v>
      </c>
      <c r="Z765" t="s">
        <v>461</v>
      </c>
      <c r="AA765">
        <v>0</v>
      </c>
      <c r="AB765" t="s">
        <v>142</v>
      </c>
      <c r="AC765" t="s">
        <v>41</v>
      </c>
      <c r="AD765" t="s">
        <v>40</v>
      </c>
      <c r="AE765" t="str">
        <f t="shared" si="194"/>
        <v>12</v>
      </c>
      <c r="AF765" t="s">
        <v>40</v>
      </c>
    </row>
    <row r="766" spans="1:32" x14ac:dyDescent="0.25">
      <c r="A766">
        <v>5</v>
      </c>
      <c r="B766">
        <v>420</v>
      </c>
      <c r="C766" t="str">
        <f t="shared" si="209"/>
        <v>11</v>
      </c>
      <c r="D766">
        <v>6399</v>
      </c>
      <c r="E766" t="str">
        <f t="shared" si="208"/>
        <v>00</v>
      </c>
      <c r="F766" t="str">
        <f>"101"</f>
        <v>101</v>
      </c>
      <c r="G766">
        <v>5</v>
      </c>
      <c r="H766" t="str">
        <f t="shared" si="212"/>
        <v>11</v>
      </c>
      <c r="I766" t="str">
        <f t="shared" si="195"/>
        <v>0</v>
      </c>
      <c r="J766" t="str">
        <f t="shared" si="201"/>
        <v>00</v>
      </c>
      <c r="K766">
        <v>20141219</v>
      </c>
      <c r="L766" t="str">
        <f t="shared" si="210"/>
        <v>014660</v>
      </c>
      <c r="M766" t="str">
        <f t="shared" si="211"/>
        <v>00015</v>
      </c>
      <c r="N766" t="s">
        <v>44</v>
      </c>
      <c r="O766">
        <v>59.6</v>
      </c>
      <c r="Q766" t="s">
        <v>33</v>
      </c>
      <c r="R766" t="s">
        <v>34</v>
      </c>
      <c r="S766" t="s">
        <v>35</v>
      </c>
      <c r="T766" t="s">
        <v>35</v>
      </c>
      <c r="U766" t="s">
        <v>34</v>
      </c>
      <c r="V766" t="str">
        <f>""</f>
        <v/>
      </c>
      <c r="W766">
        <v>20141216</v>
      </c>
      <c r="X766" t="s">
        <v>246</v>
      </c>
      <c r="Y766" t="s">
        <v>598</v>
      </c>
      <c r="Z766" t="s">
        <v>598</v>
      </c>
      <c r="AA766">
        <v>0</v>
      </c>
      <c r="AB766" t="s">
        <v>142</v>
      </c>
      <c r="AC766" t="s">
        <v>41</v>
      </c>
      <c r="AD766" t="s">
        <v>40</v>
      </c>
      <c r="AE766" t="str">
        <f t="shared" si="194"/>
        <v>12</v>
      </c>
      <c r="AF766" t="s">
        <v>40</v>
      </c>
    </row>
    <row r="767" spans="1:32" x14ac:dyDescent="0.25">
      <c r="A767">
        <v>5</v>
      </c>
      <c r="B767">
        <v>420</v>
      </c>
      <c r="C767" t="str">
        <f>"12"</f>
        <v>12</v>
      </c>
      <c r="D767">
        <v>6399</v>
      </c>
      <c r="E767" t="str">
        <f t="shared" si="208"/>
        <v>00</v>
      </c>
      <c r="F767" t="str">
        <f>"999"</f>
        <v>999</v>
      </c>
      <c r="G767">
        <v>5</v>
      </c>
      <c r="H767" t="str">
        <f>"99"</f>
        <v>99</v>
      </c>
      <c r="I767" t="str">
        <f t="shared" si="195"/>
        <v>0</v>
      </c>
      <c r="J767" t="str">
        <f t="shared" si="201"/>
        <v>00</v>
      </c>
      <c r="K767">
        <v>20141219</v>
      </c>
      <c r="L767" t="str">
        <f t="shared" si="210"/>
        <v>014660</v>
      </c>
      <c r="M767" t="str">
        <f t="shared" si="211"/>
        <v>00015</v>
      </c>
      <c r="N767" t="s">
        <v>44</v>
      </c>
      <c r="O767">
        <v>109</v>
      </c>
      <c r="Q767" t="s">
        <v>33</v>
      </c>
      <c r="R767" t="s">
        <v>34</v>
      </c>
      <c r="S767" t="s">
        <v>35</v>
      </c>
      <c r="T767" t="s">
        <v>35</v>
      </c>
      <c r="U767" t="s">
        <v>34</v>
      </c>
      <c r="V767" t="str">
        <f>""</f>
        <v/>
      </c>
      <c r="W767">
        <v>20141216</v>
      </c>
      <c r="X767" t="s">
        <v>523</v>
      </c>
      <c r="Y767" t="s">
        <v>59</v>
      </c>
      <c r="Z767" t="s">
        <v>59</v>
      </c>
      <c r="AA767">
        <v>0</v>
      </c>
      <c r="AB767" t="s">
        <v>142</v>
      </c>
      <c r="AC767" t="s">
        <v>143</v>
      </c>
      <c r="AD767" t="s">
        <v>40</v>
      </c>
      <c r="AE767" t="str">
        <f t="shared" si="194"/>
        <v>12</v>
      </c>
      <c r="AF767" t="s">
        <v>40</v>
      </c>
    </row>
    <row r="768" spans="1:32" x14ac:dyDescent="0.25">
      <c r="A768">
        <v>5</v>
      </c>
      <c r="B768">
        <v>420</v>
      </c>
      <c r="C768" t="str">
        <f>"12"</f>
        <v>12</v>
      </c>
      <c r="D768">
        <v>6399</v>
      </c>
      <c r="E768" t="str">
        <f t="shared" si="208"/>
        <v>00</v>
      </c>
      <c r="F768" t="str">
        <f>"999"</f>
        <v>999</v>
      </c>
      <c r="G768">
        <v>5</v>
      </c>
      <c r="H768" t="str">
        <f>"99"</f>
        <v>99</v>
      </c>
      <c r="I768" t="str">
        <f t="shared" si="195"/>
        <v>0</v>
      </c>
      <c r="J768" t="str">
        <f t="shared" si="201"/>
        <v>00</v>
      </c>
      <c r="K768">
        <v>20141219</v>
      </c>
      <c r="L768" t="str">
        <f t="shared" si="210"/>
        <v>014660</v>
      </c>
      <c r="M768" t="str">
        <f t="shared" si="211"/>
        <v>00015</v>
      </c>
      <c r="N768" t="s">
        <v>44</v>
      </c>
      <c r="O768">
        <v>7.52</v>
      </c>
      <c r="Q768" t="s">
        <v>33</v>
      </c>
      <c r="R768" t="s">
        <v>34</v>
      </c>
      <c r="S768" t="s">
        <v>35</v>
      </c>
      <c r="T768" t="s">
        <v>35</v>
      </c>
      <c r="U768" t="s">
        <v>34</v>
      </c>
      <c r="V768" t="str">
        <f>""</f>
        <v/>
      </c>
      <c r="W768">
        <v>20141216</v>
      </c>
      <c r="X768" t="s">
        <v>523</v>
      </c>
      <c r="Y768" t="s">
        <v>59</v>
      </c>
      <c r="Z768" t="s">
        <v>59</v>
      </c>
      <c r="AA768">
        <v>0</v>
      </c>
      <c r="AB768" t="s">
        <v>142</v>
      </c>
      <c r="AC768" t="s">
        <v>143</v>
      </c>
      <c r="AD768" t="s">
        <v>40</v>
      </c>
      <c r="AE768" t="str">
        <f t="shared" ref="AE768:AE831" si="213">"12"</f>
        <v>12</v>
      </c>
      <c r="AF768" t="s">
        <v>40</v>
      </c>
    </row>
    <row r="769" spans="1:32" x14ac:dyDescent="0.25">
      <c r="A769">
        <v>5</v>
      </c>
      <c r="B769">
        <v>420</v>
      </c>
      <c r="C769" t="str">
        <f>"12"</f>
        <v>12</v>
      </c>
      <c r="D769">
        <v>6399</v>
      </c>
      <c r="E769" t="str">
        <f t="shared" si="208"/>
        <v>00</v>
      </c>
      <c r="F769" t="str">
        <f>"999"</f>
        <v>999</v>
      </c>
      <c r="G769">
        <v>5</v>
      </c>
      <c r="H769" t="str">
        <f>"99"</f>
        <v>99</v>
      </c>
      <c r="I769" t="str">
        <f t="shared" si="195"/>
        <v>0</v>
      </c>
      <c r="J769" t="str">
        <f t="shared" si="201"/>
        <v>00</v>
      </c>
      <c r="K769">
        <v>20141219</v>
      </c>
      <c r="L769" t="str">
        <f t="shared" si="210"/>
        <v>014660</v>
      </c>
      <c r="M769" t="str">
        <f t="shared" si="211"/>
        <v>00015</v>
      </c>
      <c r="N769" t="s">
        <v>44</v>
      </c>
      <c r="O769">
        <v>326.02999999999997</v>
      </c>
      <c r="Q769" t="s">
        <v>33</v>
      </c>
      <c r="R769" t="s">
        <v>34</v>
      </c>
      <c r="S769" t="s">
        <v>35</v>
      </c>
      <c r="T769" t="s">
        <v>35</v>
      </c>
      <c r="U769" t="s">
        <v>34</v>
      </c>
      <c r="V769" t="str">
        <f>""</f>
        <v/>
      </c>
      <c r="W769">
        <v>20141216</v>
      </c>
      <c r="X769" t="s">
        <v>523</v>
      </c>
      <c r="Y769" t="s">
        <v>59</v>
      </c>
      <c r="Z769" t="s">
        <v>59</v>
      </c>
      <c r="AA769">
        <v>0</v>
      </c>
      <c r="AB769" t="s">
        <v>142</v>
      </c>
      <c r="AC769" t="s">
        <v>143</v>
      </c>
      <c r="AD769" t="s">
        <v>40</v>
      </c>
      <c r="AE769" t="str">
        <f t="shared" si="213"/>
        <v>12</v>
      </c>
      <c r="AF769" t="s">
        <v>40</v>
      </c>
    </row>
    <row r="770" spans="1:32" x14ac:dyDescent="0.25">
      <c r="A770">
        <v>5</v>
      </c>
      <c r="B770">
        <v>420</v>
      </c>
      <c r="C770" t="str">
        <f>"36"</f>
        <v>36</v>
      </c>
      <c r="D770">
        <v>6399</v>
      </c>
      <c r="E770" t="str">
        <f t="shared" si="208"/>
        <v>00</v>
      </c>
      <c r="F770" t="str">
        <f>"001"</f>
        <v>001</v>
      </c>
      <c r="G770">
        <v>5</v>
      </c>
      <c r="H770" t="str">
        <f>"91"</f>
        <v>91</v>
      </c>
      <c r="I770" t="str">
        <f t="shared" ref="I770:I833" si="214">"0"</f>
        <v>0</v>
      </c>
      <c r="J770" t="str">
        <f t="shared" si="201"/>
        <v>00</v>
      </c>
      <c r="K770">
        <v>20141219</v>
      </c>
      <c r="L770" t="str">
        <f t="shared" si="210"/>
        <v>014660</v>
      </c>
      <c r="M770" t="str">
        <f t="shared" si="211"/>
        <v>00015</v>
      </c>
      <c r="N770" t="s">
        <v>44</v>
      </c>
      <c r="O770">
        <v>200</v>
      </c>
      <c r="Q770" t="s">
        <v>33</v>
      </c>
      <c r="R770" t="s">
        <v>34</v>
      </c>
      <c r="S770" t="s">
        <v>35</v>
      </c>
      <c r="T770" t="s">
        <v>35</v>
      </c>
      <c r="U770" t="s">
        <v>34</v>
      </c>
      <c r="V770" t="str">
        <f>""</f>
        <v/>
      </c>
      <c r="W770">
        <v>20141216</v>
      </c>
      <c r="X770" t="s">
        <v>599</v>
      </c>
      <c r="Y770" t="s">
        <v>600</v>
      </c>
      <c r="Z770" t="s">
        <v>600</v>
      </c>
      <c r="AA770">
        <v>0</v>
      </c>
      <c r="AB770" t="s">
        <v>142</v>
      </c>
      <c r="AC770" t="s">
        <v>41</v>
      </c>
      <c r="AD770" t="s">
        <v>40</v>
      </c>
      <c r="AE770" t="str">
        <f t="shared" si="213"/>
        <v>12</v>
      </c>
      <c r="AF770" t="s">
        <v>40</v>
      </c>
    </row>
    <row r="771" spans="1:32" x14ac:dyDescent="0.25">
      <c r="A771">
        <v>5</v>
      </c>
      <c r="B771">
        <v>420</v>
      </c>
      <c r="C771" t="str">
        <f t="shared" ref="C771:C785" si="215">"51"</f>
        <v>51</v>
      </c>
      <c r="D771">
        <v>6269</v>
      </c>
      <c r="E771" t="str">
        <f t="shared" si="208"/>
        <v>00</v>
      </c>
      <c r="F771" t="str">
        <f t="shared" ref="F771:F793" si="216">"999"</f>
        <v>999</v>
      </c>
      <c r="G771">
        <v>5</v>
      </c>
      <c r="H771" t="str">
        <f t="shared" ref="H771:H785" si="217">"99"</f>
        <v>99</v>
      </c>
      <c r="I771" t="str">
        <f t="shared" si="214"/>
        <v>0</v>
      </c>
      <c r="J771" t="str">
        <f t="shared" si="201"/>
        <v>00</v>
      </c>
      <c r="K771">
        <v>20141219</v>
      </c>
      <c r="L771" t="str">
        <f t="shared" si="210"/>
        <v>014660</v>
      </c>
      <c r="M771" t="str">
        <f t="shared" si="211"/>
        <v>00015</v>
      </c>
      <c r="N771" t="s">
        <v>44</v>
      </c>
      <c r="O771">
        <v>99</v>
      </c>
      <c r="Q771" t="s">
        <v>33</v>
      </c>
      <c r="R771" t="s">
        <v>34</v>
      </c>
      <c r="S771" t="s">
        <v>35</v>
      </c>
      <c r="T771" t="s">
        <v>35</v>
      </c>
      <c r="U771" t="s">
        <v>34</v>
      </c>
      <c r="V771" t="str">
        <f>""</f>
        <v/>
      </c>
      <c r="W771">
        <v>20141216</v>
      </c>
      <c r="X771" t="s">
        <v>225</v>
      </c>
      <c r="Y771" t="s">
        <v>525</v>
      </c>
      <c r="Z771" t="s">
        <v>525</v>
      </c>
      <c r="AA771">
        <v>0</v>
      </c>
      <c r="AB771" t="s">
        <v>142</v>
      </c>
      <c r="AC771" t="s">
        <v>143</v>
      </c>
      <c r="AD771" t="s">
        <v>40</v>
      </c>
      <c r="AE771" t="str">
        <f t="shared" si="213"/>
        <v>12</v>
      </c>
      <c r="AF771" t="s">
        <v>40</v>
      </c>
    </row>
    <row r="772" spans="1:32" x14ac:dyDescent="0.25">
      <c r="A772">
        <v>5</v>
      </c>
      <c r="B772">
        <v>420</v>
      </c>
      <c r="C772" t="str">
        <f t="shared" si="215"/>
        <v>51</v>
      </c>
      <c r="D772">
        <v>6319</v>
      </c>
      <c r="E772" t="str">
        <f t="shared" si="208"/>
        <v>00</v>
      </c>
      <c r="F772" t="str">
        <f t="shared" si="216"/>
        <v>999</v>
      </c>
      <c r="G772">
        <v>5</v>
      </c>
      <c r="H772" t="str">
        <f t="shared" si="217"/>
        <v>99</v>
      </c>
      <c r="I772" t="str">
        <f t="shared" si="214"/>
        <v>0</v>
      </c>
      <c r="J772" t="str">
        <f t="shared" si="201"/>
        <v>00</v>
      </c>
      <c r="K772">
        <v>20141219</v>
      </c>
      <c r="L772" t="str">
        <f t="shared" si="210"/>
        <v>014660</v>
      </c>
      <c r="M772" t="str">
        <f t="shared" si="211"/>
        <v>00015</v>
      </c>
      <c r="N772" t="s">
        <v>44</v>
      </c>
      <c r="O772">
        <v>297.89999999999998</v>
      </c>
      <c r="Q772" t="s">
        <v>33</v>
      </c>
      <c r="R772" t="s">
        <v>34</v>
      </c>
      <c r="S772" t="s">
        <v>35</v>
      </c>
      <c r="T772" t="s">
        <v>35</v>
      </c>
      <c r="U772" t="s">
        <v>34</v>
      </c>
      <c r="V772" t="str">
        <f>""</f>
        <v/>
      </c>
      <c r="W772">
        <v>20141216</v>
      </c>
      <c r="X772" t="s">
        <v>185</v>
      </c>
      <c r="Y772" t="s">
        <v>601</v>
      </c>
      <c r="Z772" t="s">
        <v>601</v>
      </c>
      <c r="AA772">
        <v>0</v>
      </c>
      <c r="AB772" t="s">
        <v>142</v>
      </c>
      <c r="AC772" t="s">
        <v>143</v>
      </c>
      <c r="AD772" t="s">
        <v>40</v>
      </c>
      <c r="AE772" t="str">
        <f t="shared" si="213"/>
        <v>12</v>
      </c>
      <c r="AF772" t="s">
        <v>40</v>
      </c>
    </row>
    <row r="773" spans="1:32" x14ac:dyDescent="0.25">
      <c r="A773">
        <v>5</v>
      </c>
      <c r="B773">
        <v>420</v>
      </c>
      <c r="C773" t="str">
        <f t="shared" si="215"/>
        <v>51</v>
      </c>
      <c r="D773">
        <v>6319</v>
      </c>
      <c r="E773" t="str">
        <f t="shared" si="208"/>
        <v>00</v>
      </c>
      <c r="F773" t="str">
        <f t="shared" si="216"/>
        <v>999</v>
      </c>
      <c r="G773">
        <v>5</v>
      </c>
      <c r="H773" t="str">
        <f t="shared" si="217"/>
        <v>99</v>
      </c>
      <c r="I773" t="str">
        <f t="shared" si="214"/>
        <v>0</v>
      </c>
      <c r="J773" t="str">
        <f t="shared" si="201"/>
        <v>00</v>
      </c>
      <c r="K773">
        <v>20141219</v>
      </c>
      <c r="L773" t="str">
        <f t="shared" si="210"/>
        <v>014660</v>
      </c>
      <c r="M773" t="str">
        <f t="shared" si="211"/>
        <v>00015</v>
      </c>
      <c r="N773" t="s">
        <v>44</v>
      </c>
      <c r="O773">
        <v>470.9</v>
      </c>
      <c r="Q773" t="s">
        <v>33</v>
      </c>
      <c r="R773" t="s">
        <v>34</v>
      </c>
      <c r="S773" t="s">
        <v>35</v>
      </c>
      <c r="T773" t="s">
        <v>35</v>
      </c>
      <c r="U773" t="s">
        <v>34</v>
      </c>
      <c r="V773" t="str">
        <f>""</f>
        <v/>
      </c>
      <c r="W773">
        <v>20141216</v>
      </c>
      <c r="X773" t="s">
        <v>185</v>
      </c>
      <c r="Y773" t="s">
        <v>535</v>
      </c>
      <c r="Z773" t="s">
        <v>535</v>
      </c>
      <c r="AA773">
        <v>0</v>
      </c>
      <c r="AB773" t="s">
        <v>142</v>
      </c>
      <c r="AC773" t="s">
        <v>143</v>
      </c>
      <c r="AD773" t="s">
        <v>40</v>
      </c>
      <c r="AE773" t="str">
        <f t="shared" si="213"/>
        <v>12</v>
      </c>
      <c r="AF773" t="s">
        <v>40</v>
      </c>
    </row>
    <row r="774" spans="1:32" x14ac:dyDescent="0.25">
      <c r="A774">
        <v>5</v>
      </c>
      <c r="B774">
        <v>420</v>
      </c>
      <c r="C774" t="str">
        <f t="shared" si="215"/>
        <v>51</v>
      </c>
      <c r="D774">
        <v>6319</v>
      </c>
      <c r="E774" t="str">
        <f t="shared" si="208"/>
        <v>00</v>
      </c>
      <c r="F774" t="str">
        <f t="shared" si="216"/>
        <v>999</v>
      </c>
      <c r="G774">
        <v>5</v>
      </c>
      <c r="H774" t="str">
        <f t="shared" si="217"/>
        <v>99</v>
      </c>
      <c r="I774" t="str">
        <f t="shared" si="214"/>
        <v>0</v>
      </c>
      <c r="J774" t="str">
        <f t="shared" si="201"/>
        <v>00</v>
      </c>
      <c r="K774">
        <v>20141219</v>
      </c>
      <c r="L774" t="str">
        <f t="shared" si="210"/>
        <v>014660</v>
      </c>
      <c r="M774" t="str">
        <f t="shared" si="211"/>
        <v>00015</v>
      </c>
      <c r="N774" t="s">
        <v>44</v>
      </c>
      <c r="O774">
        <v>178.27</v>
      </c>
      <c r="Q774" t="s">
        <v>33</v>
      </c>
      <c r="R774" t="s">
        <v>34</v>
      </c>
      <c r="S774" t="s">
        <v>35</v>
      </c>
      <c r="T774" t="s">
        <v>35</v>
      </c>
      <c r="U774" t="s">
        <v>34</v>
      </c>
      <c r="V774" t="str">
        <f>""</f>
        <v/>
      </c>
      <c r="W774">
        <v>20141216</v>
      </c>
      <c r="X774" t="s">
        <v>185</v>
      </c>
      <c r="Y774" t="s">
        <v>537</v>
      </c>
      <c r="Z774" t="s">
        <v>537</v>
      </c>
      <c r="AA774">
        <v>0</v>
      </c>
      <c r="AB774" t="s">
        <v>142</v>
      </c>
      <c r="AC774" t="s">
        <v>143</v>
      </c>
      <c r="AD774" t="s">
        <v>40</v>
      </c>
      <c r="AE774" t="str">
        <f t="shared" si="213"/>
        <v>12</v>
      </c>
      <c r="AF774" t="s">
        <v>40</v>
      </c>
    </row>
    <row r="775" spans="1:32" x14ac:dyDescent="0.25">
      <c r="A775">
        <v>5</v>
      </c>
      <c r="B775">
        <v>420</v>
      </c>
      <c r="C775" t="str">
        <f t="shared" si="215"/>
        <v>51</v>
      </c>
      <c r="D775">
        <v>6319</v>
      </c>
      <c r="E775" t="str">
        <f t="shared" si="208"/>
        <v>00</v>
      </c>
      <c r="F775" t="str">
        <f t="shared" si="216"/>
        <v>999</v>
      </c>
      <c r="G775">
        <v>5</v>
      </c>
      <c r="H775" t="str">
        <f t="shared" si="217"/>
        <v>99</v>
      </c>
      <c r="I775" t="str">
        <f t="shared" si="214"/>
        <v>0</v>
      </c>
      <c r="J775" t="str">
        <f t="shared" si="201"/>
        <v>00</v>
      </c>
      <c r="K775">
        <v>20141219</v>
      </c>
      <c r="L775" t="str">
        <f t="shared" si="210"/>
        <v>014660</v>
      </c>
      <c r="M775" t="str">
        <f t="shared" si="211"/>
        <v>00015</v>
      </c>
      <c r="N775" t="s">
        <v>44</v>
      </c>
      <c r="O775">
        <v>374.9</v>
      </c>
      <c r="Q775" t="s">
        <v>33</v>
      </c>
      <c r="R775" t="s">
        <v>34</v>
      </c>
      <c r="S775" t="s">
        <v>35</v>
      </c>
      <c r="T775" t="s">
        <v>35</v>
      </c>
      <c r="U775" t="s">
        <v>34</v>
      </c>
      <c r="V775" t="str">
        <f>""</f>
        <v/>
      </c>
      <c r="W775">
        <v>20141216</v>
      </c>
      <c r="X775" t="s">
        <v>185</v>
      </c>
      <c r="Y775" t="s">
        <v>529</v>
      </c>
      <c r="Z775" t="s">
        <v>529</v>
      </c>
      <c r="AA775">
        <v>0</v>
      </c>
      <c r="AB775" t="s">
        <v>142</v>
      </c>
      <c r="AC775" t="s">
        <v>143</v>
      </c>
      <c r="AD775" t="s">
        <v>40</v>
      </c>
      <c r="AE775" t="str">
        <f t="shared" si="213"/>
        <v>12</v>
      </c>
      <c r="AF775" t="s">
        <v>40</v>
      </c>
    </row>
    <row r="776" spans="1:32" x14ac:dyDescent="0.25">
      <c r="A776">
        <v>5</v>
      </c>
      <c r="B776">
        <v>420</v>
      </c>
      <c r="C776" t="str">
        <f t="shared" si="215"/>
        <v>51</v>
      </c>
      <c r="D776">
        <v>6319</v>
      </c>
      <c r="E776" t="str">
        <f t="shared" si="208"/>
        <v>00</v>
      </c>
      <c r="F776" t="str">
        <f t="shared" si="216"/>
        <v>999</v>
      </c>
      <c r="G776">
        <v>5</v>
      </c>
      <c r="H776" t="str">
        <f t="shared" si="217"/>
        <v>99</v>
      </c>
      <c r="I776" t="str">
        <f t="shared" si="214"/>
        <v>0</v>
      </c>
      <c r="J776" t="str">
        <f t="shared" si="201"/>
        <v>00</v>
      </c>
      <c r="K776">
        <v>20141219</v>
      </c>
      <c r="L776" t="str">
        <f t="shared" si="210"/>
        <v>014660</v>
      </c>
      <c r="M776" t="str">
        <f t="shared" si="211"/>
        <v>00015</v>
      </c>
      <c r="N776" t="s">
        <v>44</v>
      </c>
      <c r="O776">
        <v>807.5</v>
      </c>
      <c r="Q776" t="s">
        <v>33</v>
      </c>
      <c r="R776" t="s">
        <v>34</v>
      </c>
      <c r="S776" t="s">
        <v>35</v>
      </c>
      <c r="T776" t="s">
        <v>35</v>
      </c>
      <c r="U776" t="s">
        <v>34</v>
      </c>
      <c r="V776" t="str">
        <f>""</f>
        <v/>
      </c>
      <c r="W776">
        <v>20141216</v>
      </c>
      <c r="X776" t="s">
        <v>185</v>
      </c>
      <c r="Y776" t="s">
        <v>530</v>
      </c>
      <c r="Z776" t="s">
        <v>530</v>
      </c>
      <c r="AA776">
        <v>0</v>
      </c>
      <c r="AB776" t="s">
        <v>142</v>
      </c>
      <c r="AC776" t="s">
        <v>143</v>
      </c>
      <c r="AD776" t="s">
        <v>40</v>
      </c>
      <c r="AE776" t="str">
        <f t="shared" si="213"/>
        <v>12</v>
      </c>
      <c r="AF776" t="s">
        <v>40</v>
      </c>
    </row>
    <row r="777" spans="1:32" x14ac:dyDescent="0.25">
      <c r="A777">
        <v>5</v>
      </c>
      <c r="B777">
        <v>420</v>
      </c>
      <c r="C777" t="str">
        <f t="shared" si="215"/>
        <v>51</v>
      </c>
      <c r="D777">
        <v>6319</v>
      </c>
      <c r="E777" t="str">
        <f t="shared" si="208"/>
        <v>00</v>
      </c>
      <c r="F777" t="str">
        <f t="shared" si="216"/>
        <v>999</v>
      </c>
      <c r="G777">
        <v>5</v>
      </c>
      <c r="H777" t="str">
        <f t="shared" si="217"/>
        <v>99</v>
      </c>
      <c r="I777" t="str">
        <f t="shared" si="214"/>
        <v>0</v>
      </c>
      <c r="J777" t="str">
        <f t="shared" si="201"/>
        <v>00</v>
      </c>
      <c r="K777">
        <v>20141219</v>
      </c>
      <c r="L777" t="str">
        <f t="shared" si="210"/>
        <v>014660</v>
      </c>
      <c r="M777" t="str">
        <f t="shared" si="211"/>
        <v>00015</v>
      </c>
      <c r="N777" t="s">
        <v>44</v>
      </c>
      <c r="O777">
        <v>367.23</v>
      </c>
      <c r="Q777" t="s">
        <v>33</v>
      </c>
      <c r="R777" t="s">
        <v>34</v>
      </c>
      <c r="S777" t="s">
        <v>35</v>
      </c>
      <c r="T777" t="s">
        <v>35</v>
      </c>
      <c r="U777" t="s">
        <v>34</v>
      </c>
      <c r="V777" t="str">
        <f>""</f>
        <v/>
      </c>
      <c r="W777">
        <v>20141216</v>
      </c>
      <c r="X777" t="s">
        <v>185</v>
      </c>
      <c r="Y777" t="s">
        <v>602</v>
      </c>
      <c r="Z777" t="s">
        <v>602</v>
      </c>
      <c r="AA777">
        <v>0</v>
      </c>
      <c r="AB777" t="s">
        <v>142</v>
      </c>
      <c r="AC777" t="s">
        <v>143</v>
      </c>
      <c r="AD777" t="s">
        <v>40</v>
      </c>
      <c r="AE777" t="str">
        <f t="shared" si="213"/>
        <v>12</v>
      </c>
      <c r="AF777" t="s">
        <v>40</v>
      </c>
    </row>
    <row r="778" spans="1:32" x14ac:dyDescent="0.25">
      <c r="A778">
        <v>5</v>
      </c>
      <c r="B778">
        <v>420</v>
      </c>
      <c r="C778" t="str">
        <f t="shared" si="215"/>
        <v>51</v>
      </c>
      <c r="D778">
        <v>6319</v>
      </c>
      <c r="E778" t="str">
        <f t="shared" si="208"/>
        <v>00</v>
      </c>
      <c r="F778" t="str">
        <f t="shared" si="216"/>
        <v>999</v>
      </c>
      <c r="G778">
        <v>5</v>
      </c>
      <c r="H778" t="str">
        <f t="shared" si="217"/>
        <v>99</v>
      </c>
      <c r="I778" t="str">
        <f t="shared" si="214"/>
        <v>0</v>
      </c>
      <c r="J778" t="str">
        <f t="shared" si="201"/>
        <v>00</v>
      </c>
      <c r="K778">
        <v>20141219</v>
      </c>
      <c r="L778" t="str">
        <f t="shared" si="210"/>
        <v>014660</v>
      </c>
      <c r="M778" t="str">
        <f t="shared" si="211"/>
        <v>00015</v>
      </c>
      <c r="N778" t="s">
        <v>44</v>
      </c>
      <c r="O778">
        <v>778</v>
      </c>
      <c r="Q778" t="s">
        <v>33</v>
      </c>
      <c r="R778" t="s">
        <v>34</v>
      </c>
      <c r="S778" t="s">
        <v>35</v>
      </c>
      <c r="T778" t="s">
        <v>35</v>
      </c>
      <c r="U778" t="s">
        <v>34</v>
      </c>
      <c r="V778" t="str">
        <f>""</f>
        <v/>
      </c>
      <c r="W778">
        <v>20141216</v>
      </c>
      <c r="X778" t="s">
        <v>185</v>
      </c>
      <c r="Y778" t="s">
        <v>602</v>
      </c>
      <c r="Z778" t="s">
        <v>602</v>
      </c>
      <c r="AA778">
        <v>0</v>
      </c>
      <c r="AB778" t="s">
        <v>142</v>
      </c>
      <c r="AC778" t="s">
        <v>143</v>
      </c>
      <c r="AD778" t="s">
        <v>40</v>
      </c>
      <c r="AE778" t="str">
        <f t="shared" si="213"/>
        <v>12</v>
      </c>
      <c r="AF778" t="s">
        <v>40</v>
      </c>
    </row>
    <row r="779" spans="1:32" x14ac:dyDescent="0.25">
      <c r="A779">
        <v>5</v>
      </c>
      <c r="B779">
        <v>420</v>
      </c>
      <c r="C779" t="str">
        <f t="shared" si="215"/>
        <v>51</v>
      </c>
      <c r="D779">
        <v>6319</v>
      </c>
      <c r="E779" t="str">
        <f t="shared" si="208"/>
        <v>00</v>
      </c>
      <c r="F779" t="str">
        <f t="shared" si="216"/>
        <v>999</v>
      </c>
      <c r="G779">
        <v>5</v>
      </c>
      <c r="H779" t="str">
        <f t="shared" si="217"/>
        <v>99</v>
      </c>
      <c r="I779" t="str">
        <f t="shared" si="214"/>
        <v>0</v>
      </c>
      <c r="J779" t="str">
        <f t="shared" si="201"/>
        <v>00</v>
      </c>
      <c r="K779">
        <v>20141219</v>
      </c>
      <c r="L779" t="str">
        <f t="shared" si="210"/>
        <v>014660</v>
      </c>
      <c r="M779" t="str">
        <f t="shared" si="211"/>
        <v>00015</v>
      </c>
      <c r="N779" t="s">
        <v>44</v>
      </c>
      <c r="O779">
        <v>768.57</v>
      </c>
      <c r="Q779" t="s">
        <v>33</v>
      </c>
      <c r="R779" t="s">
        <v>34</v>
      </c>
      <c r="S779" t="s">
        <v>35</v>
      </c>
      <c r="T779" t="s">
        <v>35</v>
      </c>
      <c r="U779" t="s">
        <v>34</v>
      </c>
      <c r="V779" t="str">
        <f>""</f>
        <v/>
      </c>
      <c r="W779">
        <v>20141216</v>
      </c>
      <c r="X779" t="s">
        <v>185</v>
      </c>
      <c r="Y779" t="s">
        <v>530</v>
      </c>
      <c r="Z779" t="s">
        <v>530</v>
      </c>
      <c r="AA779">
        <v>0</v>
      </c>
      <c r="AB779" t="s">
        <v>142</v>
      </c>
      <c r="AC779" t="s">
        <v>143</v>
      </c>
      <c r="AD779" t="s">
        <v>40</v>
      </c>
      <c r="AE779" t="str">
        <f t="shared" si="213"/>
        <v>12</v>
      </c>
      <c r="AF779" t="s">
        <v>40</v>
      </c>
    </row>
    <row r="780" spans="1:32" x14ac:dyDescent="0.25">
      <c r="A780">
        <v>5</v>
      </c>
      <c r="B780">
        <v>420</v>
      </c>
      <c r="C780" t="str">
        <f t="shared" si="215"/>
        <v>51</v>
      </c>
      <c r="D780">
        <v>6319</v>
      </c>
      <c r="E780" t="str">
        <f t="shared" si="208"/>
        <v>00</v>
      </c>
      <c r="F780" t="str">
        <f t="shared" si="216"/>
        <v>999</v>
      </c>
      <c r="G780">
        <v>5</v>
      </c>
      <c r="H780" t="str">
        <f t="shared" si="217"/>
        <v>99</v>
      </c>
      <c r="I780" t="str">
        <f t="shared" si="214"/>
        <v>0</v>
      </c>
      <c r="J780" t="str">
        <f t="shared" si="201"/>
        <v>00</v>
      </c>
      <c r="K780">
        <v>20141219</v>
      </c>
      <c r="L780" t="str">
        <f t="shared" si="210"/>
        <v>014660</v>
      </c>
      <c r="M780" t="str">
        <f t="shared" si="211"/>
        <v>00015</v>
      </c>
      <c r="N780" t="s">
        <v>44</v>
      </c>
      <c r="O780">
        <v>357.56</v>
      </c>
      <c r="Q780" t="s">
        <v>33</v>
      </c>
      <c r="R780" t="s">
        <v>34</v>
      </c>
      <c r="S780" t="s">
        <v>35</v>
      </c>
      <c r="T780" t="s">
        <v>35</v>
      </c>
      <c r="U780" t="s">
        <v>34</v>
      </c>
      <c r="V780" t="str">
        <f>""</f>
        <v/>
      </c>
      <c r="W780">
        <v>20141216</v>
      </c>
      <c r="X780" t="s">
        <v>185</v>
      </c>
      <c r="Y780" t="s">
        <v>530</v>
      </c>
      <c r="Z780" t="s">
        <v>530</v>
      </c>
      <c r="AA780">
        <v>0</v>
      </c>
      <c r="AB780" t="s">
        <v>142</v>
      </c>
      <c r="AC780" t="s">
        <v>143</v>
      </c>
      <c r="AD780" t="s">
        <v>40</v>
      </c>
      <c r="AE780" t="str">
        <f t="shared" si="213"/>
        <v>12</v>
      </c>
      <c r="AF780" t="s">
        <v>40</v>
      </c>
    </row>
    <row r="781" spans="1:32" x14ac:dyDescent="0.25">
      <c r="A781">
        <v>5</v>
      </c>
      <c r="B781">
        <v>420</v>
      </c>
      <c r="C781" t="str">
        <f t="shared" si="215"/>
        <v>51</v>
      </c>
      <c r="D781">
        <v>6319</v>
      </c>
      <c r="E781" t="str">
        <f t="shared" si="208"/>
        <v>00</v>
      </c>
      <c r="F781" t="str">
        <f t="shared" si="216"/>
        <v>999</v>
      </c>
      <c r="G781">
        <v>5</v>
      </c>
      <c r="H781" t="str">
        <f t="shared" si="217"/>
        <v>99</v>
      </c>
      <c r="I781" t="str">
        <f t="shared" si="214"/>
        <v>0</v>
      </c>
      <c r="J781" t="str">
        <f t="shared" si="201"/>
        <v>00</v>
      </c>
      <c r="K781">
        <v>20141219</v>
      </c>
      <c r="L781" t="str">
        <f t="shared" si="210"/>
        <v>014660</v>
      </c>
      <c r="M781" t="str">
        <f t="shared" si="211"/>
        <v>00015</v>
      </c>
      <c r="N781" t="s">
        <v>44</v>
      </c>
      <c r="O781">
        <v>132.07</v>
      </c>
      <c r="Q781" t="s">
        <v>33</v>
      </c>
      <c r="R781" t="s">
        <v>34</v>
      </c>
      <c r="S781" t="s">
        <v>35</v>
      </c>
      <c r="T781" t="s">
        <v>35</v>
      </c>
      <c r="U781" t="s">
        <v>34</v>
      </c>
      <c r="V781" t="str">
        <f>""</f>
        <v/>
      </c>
      <c r="W781">
        <v>20141216</v>
      </c>
      <c r="X781" t="s">
        <v>185</v>
      </c>
      <c r="Y781" t="s">
        <v>530</v>
      </c>
      <c r="Z781" t="s">
        <v>530</v>
      </c>
      <c r="AA781">
        <v>0</v>
      </c>
      <c r="AB781" t="s">
        <v>142</v>
      </c>
      <c r="AC781" t="s">
        <v>143</v>
      </c>
      <c r="AD781" t="s">
        <v>40</v>
      </c>
      <c r="AE781" t="str">
        <f t="shared" si="213"/>
        <v>12</v>
      </c>
      <c r="AF781" t="s">
        <v>40</v>
      </c>
    </row>
    <row r="782" spans="1:32" x14ac:dyDescent="0.25">
      <c r="A782">
        <v>5</v>
      </c>
      <c r="B782">
        <v>420</v>
      </c>
      <c r="C782" t="str">
        <f t="shared" si="215"/>
        <v>51</v>
      </c>
      <c r="D782">
        <v>6319</v>
      </c>
      <c r="E782" t="str">
        <f t="shared" si="208"/>
        <v>00</v>
      </c>
      <c r="F782" t="str">
        <f t="shared" si="216"/>
        <v>999</v>
      </c>
      <c r="G782">
        <v>5</v>
      </c>
      <c r="H782" t="str">
        <f t="shared" si="217"/>
        <v>99</v>
      </c>
      <c r="I782" t="str">
        <f t="shared" si="214"/>
        <v>0</v>
      </c>
      <c r="J782" t="str">
        <f t="shared" si="201"/>
        <v>00</v>
      </c>
      <c r="K782">
        <v>20141219</v>
      </c>
      <c r="L782" t="str">
        <f t="shared" si="210"/>
        <v>014660</v>
      </c>
      <c r="M782" t="str">
        <f t="shared" si="211"/>
        <v>00015</v>
      </c>
      <c r="N782" t="s">
        <v>44</v>
      </c>
      <c r="O782">
        <v>68</v>
      </c>
      <c r="Q782" t="s">
        <v>33</v>
      </c>
      <c r="R782" t="s">
        <v>34</v>
      </c>
      <c r="S782" t="s">
        <v>35</v>
      </c>
      <c r="T782" t="s">
        <v>35</v>
      </c>
      <c r="U782" t="s">
        <v>34</v>
      </c>
      <c r="V782" t="str">
        <f>""</f>
        <v/>
      </c>
      <c r="W782">
        <v>20141216</v>
      </c>
      <c r="X782" t="s">
        <v>185</v>
      </c>
      <c r="Y782" t="s">
        <v>601</v>
      </c>
      <c r="Z782" t="s">
        <v>601</v>
      </c>
      <c r="AA782">
        <v>0</v>
      </c>
      <c r="AB782" t="s">
        <v>142</v>
      </c>
      <c r="AC782" t="s">
        <v>143</v>
      </c>
      <c r="AD782" t="s">
        <v>40</v>
      </c>
      <c r="AE782" t="str">
        <f t="shared" si="213"/>
        <v>12</v>
      </c>
      <c r="AF782" t="s">
        <v>40</v>
      </c>
    </row>
    <row r="783" spans="1:32" x14ac:dyDescent="0.25">
      <c r="A783">
        <v>5</v>
      </c>
      <c r="B783">
        <v>420</v>
      </c>
      <c r="C783" t="str">
        <f t="shared" si="215"/>
        <v>51</v>
      </c>
      <c r="D783">
        <v>6319</v>
      </c>
      <c r="E783" t="str">
        <f t="shared" si="208"/>
        <v>00</v>
      </c>
      <c r="F783" t="str">
        <f t="shared" si="216"/>
        <v>999</v>
      </c>
      <c r="G783">
        <v>5</v>
      </c>
      <c r="H783" t="str">
        <f t="shared" si="217"/>
        <v>99</v>
      </c>
      <c r="I783" t="str">
        <f t="shared" si="214"/>
        <v>0</v>
      </c>
      <c r="J783" t="str">
        <f t="shared" si="201"/>
        <v>00</v>
      </c>
      <c r="K783">
        <v>20141219</v>
      </c>
      <c r="L783" t="str">
        <f t="shared" si="210"/>
        <v>014660</v>
      </c>
      <c r="M783" t="str">
        <f t="shared" si="211"/>
        <v>00015</v>
      </c>
      <c r="N783" t="s">
        <v>44</v>
      </c>
      <c r="O783">
        <v>100</v>
      </c>
      <c r="Q783" t="s">
        <v>33</v>
      </c>
      <c r="R783" t="s">
        <v>34</v>
      </c>
      <c r="S783" t="s">
        <v>35</v>
      </c>
      <c r="T783" t="s">
        <v>35</v>
      </c>
      <c r="U783" t="s">
        <v>34</v>
      </c>
      <c r="V783" t="str">
        <f>""</f>
        <v/>
      </c>
      <c r="W783">
        <v>20141216</v>
      </c>
      <c r="X783" t="s">
        <v>185</v>
      </c>
      <c r="Y783" t="s">
        <v>535</v>
      </c>
      <c r="Z783" t="s">
        <v>535</v>
      </c>
      <c r="AA783">
        <v>0</v>
      </c>
      <c r="AB783" t="s">
        <v>142</v>
      </c>
      <c r="AC783" t="s">
        <v>143</v>
      </c>
      <c r="AD783" t="s">
        <v>40</v>
      </c>
      <c r="AE783" t="str">
        <f t="shared" si="213"/>
        <v>12</v>
      </c>
      <c r="AF783" t="s">
        <v>40</v>
      </c>
    </row>
    <row r="784" spans="1:32" x14ac:dyDescent="0.25">
      <c r="A784">
        <v>5</v>
      </c>
      <c r="B784">
        <v>420</v>
      </c>
      <c r="C784" t="str">
        <f t="shared" si="215"/>
        <v>51</v>
      </c>
      <c r="D784">
        <v>6319</v>
      </c>
      <c r="E784" t="str">
        <f t="shared" si="208"/>
        <v>00</v>
      </c>
      <c r="F784" t="str">
        <f t="shared" si="216"/>
        <v>999</v>
      </c>
      <c r="G784">
        <v>5</v>
      </c>
      <c r="H784" t="str">
        <f t="shared" si="217"/>
        <v>99</v>
      </c>
      <c r="I784" t="str">
        <f t="shared" si="214"/>
        <v>0</v>
      </c>
      <c r="J784" t="str">
        <f t="shared" si="201"/>
        <v>00</v>
      </c>
      <c r="K784">
        <v>20141219</v>
      </c>
      <c r="L784" t="str">
        <f t="shared" si="210"/>
        <v>014660</v>
      </c>
      <c r="M784" t="str">
        <f t="shared" si="211"/>
        <v>00015</v>
      </c>
      <c r="N784" t="s">
        <v>44</v>
      </c>
      <c r="O784">
        <v>14.44</v>
      </c>
      <c r="Q784" t="s">
        <v>33</v>
      </c>
      <c r="R784" t="s">
        <v>34</v>
      </c>
      <c r="S784" t="s">
        <v>35</v>
      </c>
      <c r="T784" t="s">
        <v>35</v>
      </c>
      <c r="U784" t="s">
        <v>34</v>
      </c>
      <c r="V784" t="str">
        <f>""</f>
        <v/>
      </c>
      <c r="W784">
        <v>20141216</v>
      </c>
      <c r="X784" t="s">
        <v>185</v>
      </c>
      <c r="Y784" t="s">
        <v>532</v>
      </c>
      <c r="Z784" t="s">
        <v>532</v>
      </c>
      <c r="AA784">
        <v>0</v>
      </c>
      <c r="AB784" t="s">
        <v>142</v>
      </c>
      <c r="AC784" t="s">
        <v>143</v>
      </c>
      <c r="AD784" t="s">
        <v>40</v>
      </c>
      <c r="AE784" t="str">
        <f t="shared" si="213"/>
        <v>12</v>
      </c>
      <c r="AF784" t="s">
        <v>40</v>
      </c>
    </row>
    <row r="785" spans="1:32" x14ac:dyDescent="0.25">
      <c r="A785">
        <v>5</v>
      </c>
      <c r="B785">
        <v>420</v>
      </c>
      <c r="C785" t="str">
        <f t="shared" si="215"/>
        <v>51</v>
      </c>
      <c r="D785">
        <v>6319</v>
      </c>
      <c r="E785" t="str">
        <f t="shared" si="208"/>
        <v>00</v>
      </c>
      <c r="F785" t="str">
        <f t="shared" si="216"/>
        <v>999</v>
      </c>
      <c r="G785">
        <v>5</v>
      </c>
      <c r="H785" t="str">
        <f t="shared" si="217"/>
        <v>99</v>
      </c>
      <c r="I785" t="str">
        <f t="shared" si="214"/>
        <v>0</v>
      </c>
      <c r="J785" t="str">
        <f t="shared" si="201"/>
        <v>00</v>
      </c>
      <c r="K785">
        <v>20141219</v>
      </c>
      <c r="L785" t="str">
        <f t="shared" si="210"/>
        <v>014660</v>
      </c>
      <c r="M785" t="str">
        <f t="shared" si="211"/>
        <v>00015</v>
      </c>
      <c r="N785" t="s">
        <v>44</v>
      </c>
      <c r="O785">
        <v>-134.83000000000001</v>
      </c>
      <c r="Q785" t="s">
        <v>33</v>
      </c>
      <c r="R785" t="s">
        <v>34</v>
      </c>
      <c r="S785" t="s">
        <v>35</v>
      </c>
      <c r="T785" t="s">
        <v>35</v>
      </c>
      <c r="U785" t="s">
        <v>34</v>
      </c>
      <c r="V785" t="s">
        <v>110</v>
      </c>
      <c r="W785">
        <v>20141112</v>
      </c>
      <c r="X785" t="s">
        <v>185</v>
      </c>
      <c r="Y785" t="s">
        <v>603</v>
      </c>
      <c r="Z785" t="s">
        <v>603</v>
      </c>
      <c r="AA785">
        <v>0</v>
      </c>
      <c r="AB785" t="s">
        <v>142</v>
      </c>
      <c r="AC785" t="s">
        <v>143</v>
      </c>
      <c r="AD785" t="s">
        <v>112</v>
      </c>
      <c r="AE785" t="str">
        <f t="shared" si="213"/>
        <v>12</v>
      </c>
      <c r="AF785" t="s">
        <v>40</v>
      </c>
    </row>
    <row r="786" spans="1:32" x14ac:dyDescent="0.25">
      <c r="A786">
        <v>5</v>
      </c>
      <c r="B786">
        <v>255</v>
      </c>
      <c r="C786" t="str">
        <f>"11"</f>
        <v>11</v>
      </c>
      <c r="D786">
        <v>6219</v>
      </c>
      <c r="E786" t="str">
        <f t="shared" si="208"/>
        <v>00</v>
      </c>
      <c r="F786" t="str">
        <f t="shared" si="216"/>
        <v>999</v>
      </c>
      <c r="G786">
        <v>5</v>
      </c>
      <c r="H786" t="str">
        <f>"30"</f>
        <v>30</v>
      </c>
      <c r="I786" t="str">
        <f t="shared" si="214"/>
        <v>0</v>
      </c>
      <c r="J786" t="str">
        <f t="shared" si="201"/>
        <v>00</v>
      </c>
      <c r="K786">
        <v>20141219</v>
      </c>
      <c r="L786" t="str">
        <f>"014661"</f>
        <v>014661</v>
      </c>
      <c r="M786" t="str">
        <f>"00734"</f>
        <v>00734</v>
      </c>
      <c r="N786" t="s">
        <v>220</v>
      </c>
      <c r="O786">
        <v>225</v>
      </c>
      <c r="Q786" t="s">
        <v>33</v>
      </c>
      <c r="R786" t="s">
        <v>34</v>
      </c>
      <c r="S786" t="s">
        <v>35</v>
      </c>
      <c r="T786" t="s">
        <v>35</v>
      </c>
      <c r="U786" t="s">
        <v>34</v>
      </c>
      <c r="V786" t="str">
        <f>""</f>
        <v/>
      </c>
      <c r="W786">
        <v>20141218</v>
      </c>
      <c r="X786" t="s">
        <v>177</v>
      </c>
      <c r="Y786" t="s">
        <v>604</v>
      </c>
      <c r="Z786" t="s">
        <v>604</v>
      </c>
      <c r="AA786">
        <v>0</v>
      </c>
      <c r="AB786" t="s">
        <v>178</v>
      </c>
      <c r="AC786" t="s">
        <v>143</v>
      </c>
      <c r="AD786" t="s">
        <v>40</v>
      </c>
      <c r="AE786" t="str">
        <f t="shared" si="213"/>
        <v>12</v>
      </c>
      <c r="AF786" t="s">
        <v>40</v>
      </c>
    </row>
    <row r="787" spans="1:32" x14ac:dyDescent="0.25">
      <c r="A787">
        <v>5</v>
      </c>
      <c r="B787">
        <v>255</v>
      </c>
      <c r="C787" t="str">
        <f>"11"</f>
        <v>11</v>
      </c>
      <c r="D787">
        <v>6219</v>
      </c>
      <c r="E787" t="str">
        <f t="shared" si="208"/>
        <v>00</v>
      </c>
      <c r="F787" t="str">
        <f t="shared" si="216"/>
        <v>999</v>
      </c>
      <c r="G787">
        <v>5</v>
      </c>
      <c r="H787" t="str">
        <f>"30"</f>
        <v>30</v>
      </c>
      <c r="I787" t="str">
        <f t="shared" si="214"/>
        <v>0</v>
      </c>
      <c r="J787" t="str">
        <f t="shared" si="201"/>
        <v>00</v>
      </c>
      <c r="K787">
        <v>20141219</v>
      </c>
      <c r="L787" t="str">
        <f>"014661"</f>
        <v>014661</v>
      </c>
      <c r="M787" t="str">
        <f>"00734"</f>
        <v>00734</v>
      </c>
      <c r="N787" t="s">
        <v>220</v>
      </c>
      <c r="O787">
        <v>550</v>
      </c>
      <c r="Q787" t="s">
        <v>33</v>
      </c>
      <c r="R787" t="s">
        <v>34</v>
      </c>
      <c r="S787" t="s">
        <v>35</v>
      </c>
      <c r="T787" t="s">
        <v>35</v>
      </c>
      <c r="U787" t="s">
        <v>34</v>
      </c>
      <c r="V787" t="str">
        <f>""</f>
        <v/>
      </c>
      <c r="W787">
        <v>20141218</v>
      </c>
      <c r="X787" t="s">
        <v>177</v>
      </c>
      <c r="Y787" t="s">
        <v>604</v>
      </c>
      <c r="Z787" t="s">
        <v>604</v>
      </c>
      <c r="AA787">
        <v>0</v>
      </c>
      <c r="AB787" t="s">
        <v>178</v>
      </c>
      <c r="AC787" t="s">
        <v>143</v>
      </c>
      <c r="AD787" t="s">
        <v>40</v>
      </c>
      <c r="AE787" t="str">
        <f t="shared" si="213"/>
        <v>12</v>
      </c>
      <c r="AF787" t="s">
        <v>40</v>
      </c>
    </row>
    <row r="788" spans="1:32" x14ac:dyDescent="0.25">
      <c r="A788">
        <v>5</v>
      </c>
      <c r="B788">
        <v>420</v>
      </c>
      <c r="C788" t="str">
        <f t="shared" ref="C788:C793" si="218">"51"</f>
        <v>51</v>
      </c>
      <c r="D788">
        <v>6259</v>
      </c>
      <c r="E788" t="str">
        <f>"55"</f>
        <v>55</v>
      </c>
      <c r="F788" t="str">
        <f t="shared" si="216"/>
        <v>999</v>
      </c>
      <c r="G788">
        <v>5</v>
      </c>
      <c r="H788" t="str">
        <f t="shared" ref="H788:H794" si="219">"99"</f>
        <v>99</v>
      </c>
      <c r="I788" t="str">
        <f t="shared" si="214"/>
        <v>0</v>
      </c>
      <c r="J788" t="str">
        <f t="shared" si="201"/>
        <v>00</v>
      </c>
      <c r="K788">
        <v>20141219</v>
      </c>
      <c r="L788" t="str">
        <f>"014662"</f>
        <v>014662</v>
      </c>
      <c r="M788" t="str">
        <f>"00075"</f>
        <v>00075</v>
      </c>
      <c r="N788" t="s">
        <v>259</v>
      </c>
      <c r="O788">
        <v>31.29</v>
      </c>
      <c r="Q788" t="s">
        <v>33</v>
      </c>
      <c r="R788" t="s">
        <v>34</v>
      </c>
      <c r="S788" t="s">
        <v>35</v>
      </c>
      <c r="T788" t="s">
        <v>35</v>
      </c>
      <c r="U788" t="s">
        <v>34</v>
      </c>
      <c r="V788" t="str">
        <f>""</f>
        <v/>
      </c>
      <c r="W788">
        <v>20141218</v>
      </c>
      <c r="X788" t="s">
        <v>243</v>
      </c>
      <c r="Y788" t="s">
        <v>244</v>
      </c>
      <c r="Z788" t="s">
        <v>244</v>
      </c>
      <c r="AA788">
        <v>0</v>
      </c>
      <c r="AB788" t="s">
        <v>142</v>
      </c>
      <c r="AC788" t="s">
        <v>143</v>
      </c>
      <c r="AD788" t="s">
        <v>40</v>
      </c>
      <c r="AE788" t="str">
        <f t="shared" si="213"/>
        <v>12</v>
      </c>
      <c r="AF788" t="s">
        <v>40</v>
      </c>
    </row>
    <row r="789" spans="1:32" x14ac:dyDescent="0.25">
      <c r="A789">
        <v>5</v>
      </c>
      <c r="B789">
        <v>420</v>
      </c>
      <c r="C789" t="str">
        <f t="shared" si="218"/>
        <v>51</v>
      </c>
      <c r="D789">
        <v>6259</v>
      </c>
      <c r="E789" t="str">
        <f>"55"</f>
        <v>55</v>
      </c>
      <c r="F789" t="str">
        <f t="shared" si="216"/>
        <v>999</v>
      </c>
      <c r="G789">
        <v>5</v>
      </c>
      <c r="H789" t="str">
        <f t="shared" si="219"/>
        <v>99</v>
      </c>
      <c r="I789" t="str">
        <f t="shared" si="214"/>
        <v>0</v>
      </c>
      <c r="J789" t="str">
        <f t="shared" ref="J789:J852" si="220">"00"</f>
        <v>00</v>
      </c>
      <c r="K789">
        <v>20141219</v>
      </c>
      <c r="L789" t="str">
        <f>"014662"</f>
        <v>014662</v>
      </c>
      <c r="M789" t="str">
        <f>"00075"</f>
        <v>00075</v>
      </c>
      <c r="N789" t="s">
        <v>259</v>
      </c>
      <c r="O789">
        <v>265.62</v>
      </c>
      <c r="Q789" t="s">
        <v>33</v>
      </c>
      <c r="R789" t="s">
        <v>34</v>
      </c>
      <c r="S789" t="s">
        <v>35</v>
      </c>
      <c r="T789" t="s">
        <v>35</v>
      </c>
      <c r="U789" t="s">
        <v>34</v>
      </c>
      <c r="V789" t="str">
        <f>""</f>
        <v/>
      </c>
      <c r="W789">
        <v>20141218</v>
      </c>
      <c r="X789" t="s">
        <v>243</v>
      </c>
      <c r="Y789" t="s">
        <v>244</v>
      </c>
      <c r="Z789" t="s">
        <v>244</v>
      </c>
      <c r="AA789">
        <v>0</v>
      </c>
      <c r="AB789" t="s">
        <v>142</v>
      </c>
      <c r="AC789" t="s">
        <v>143</v>
      </c>
      <c r="AD789" t="s">
        <v>40</v>
      </c>
      <c r="AE789" t="str">
        <f t="shared" si="213"/>
        <v>12</v>
      </c>
      <c r="AF789" t="s">
        <v>40</v>
      </c>
    </row>
    <row r="790" spans="1:32" x14ac:dyDescent="0.25">
      <c r="A790">
        <v>5</v>
      </c>
      <c r="B790">
        <v>420</v>
      </c>
      <c r="C790" t="str">
        <f t="shared" si="218"/>
        <v>51</v>
      </c>
      <c r="D790">
        <v>6219</v>
      </c>
      <c r="E790" t="str">
        <f t="shared" ref="E790:E820" si="221">"00"</f>
        <v>00</v>
      </c>
      <c r="F790" t="str">
        <f t="shared" si="216"/>
        <v>999</v>
      </c>
      <c r="G790">
        <v>5</v>
      </c>
      <c r="H790" t="str">
        <f t="shared" si="219"/>
        <v>99</v>
      </c>
      <c r="I790" t="str">
        <f t="shared" si="214"/>
        <v>0</v>
      </c>
      <c r="J790" t="str">
        <f t="shared" si="220"/>
        <v>00</v>
      </c>
      <c r="K790">
        <v>20141219</v>
      </c>
      <c r="L790" t="str">
        <f>"014663"</f>
        <v>014663</v>
      </c>
      <c r="M790" t="str">
        <f>"00102"</f>
        <v>00102</v>
      </c>
      <c r="N790" t="s">
        <v>367</v>
      </c>
      <c r="O790">
        <v>145</v>
      </c>
      <c r="Q790" t="s">
        <v>33</v>
      </c>
      <c r="R790" t="s">
        <v>34</v>
      </c>
      <c r="S790" t="s">
        <v>35</v>
      </c>
      <c r="T790" t="s">
        <v>35</v>
      </c>
      <c r="U790" t="s">
        <v>34</v>
      </c>
      <c r="V790" t="str">
        <f>""</f>
        <v/>
      </c>
      <c r="W790">
        <v>20141218</v>
      </c>
      <c r="X790" t="s">
        <v>183</v>
      </c>
      <c r="Y790" t="s">
        <v>368</v>
      </c>
      <c r="Z790" t="s">
        <v>368</v>
      </c>
      <c r="AA790">
        <v>0</v>
      </c>
      <c r="AB790" t="s">
        <v>142</v>
      </c>
      <c r="AC790" t="s">
        <v>143</v>
      </c>
      <c r="AD790" t="s">
        <v>40</v>
      </c>
      <c r="AE790" t="str">
        <f t="shared" si="213"/>
        <v>12</v>
      </c>
      <c r="AF790" t="s">
        <v>40</v>
      </c>
    </row>
    <row r="791" spans="1:32" x14ac:dyDescent="0.25">
      <c r="A791">
        <v>5</v>
      </c>
      <c r="B791">
        <v>420</v>
      </c>
      <c r="C791" t="str">
        <f t="shared" si="218"/>
        <v>51</v>
      </c>
      <c r="D791">
        <v>6319</v>
      </c>
      <c r="E791" t="str">
        <f t="shared" si="221"/>
        <v>00</v>
      </c>
      <c r="F791" t="str">
        <f t="shared" si="216"/>
        <v>999</v>
      </c>
      <c r="G791">
        <v>5</v>
      </c>
      <c r="H791" t="str">
        <f t="shared" si="219"/>
        <v>99</v>
      </c>
      <c r="I791" t="str">
        <f t="shared" si="214"/>
        <v>0</v>
      </c>
      <c r="J791" t="str">
        <f t="shared" si="220"/>
        <v>00</v>
      </c>
      <c r="K791">
        <v>20141219</v>
      </c>
      <c r="L791" t="str">
        <f>"014664"</f>
        <v>014664</v>
      </c>
      <c r="M791" t="str">
        <f>"00671"</f>
        <v>00671</v>
      </c>
      <c r="N791" t="s">
        <v>605</v>
      </c>
      <c r="O791">
        <v>125.58</v>
      </c>
      <c r="Q791" t="s">
        <v>33</v>
      </c>
      <c r="R791" t="s">
        <v>34</v>
      </c>
      <c r="S791" t="s">
        <v>35</v>
      </c>
      <c r="T791" t="s">
        <v>35</v>
      </c>
      <c r="U791" t="s">
        <v>34</v>
      </c>
      <c r="V791" t="str">
        <f>""</f>
        <v/>
      </c>
      <c r="W791">
        <v>20141219</v>
      </c>
      <c r="X791" t="s">
        <v>185</v>
      </c>
      <c r="Y791" t="s">
        <v>582</v>
      </c>
      <c r="Z791" t="s">
        <v>582</v>
      </c>
      <c r="AA791">
        <v>0</v>
      </c>
      <c r="AB791" t="s">
        <v>142</v>
      </c>
      <c r="AC791" t="s">
        <v>143</v>
      </c>
      <c r="AD791" t="s">
        <v>40</v>
      </c>
      <c r="AE791" t="str">
        <f t="shared" si="213"/>
        <v>12</v>
      </c>
      <c r="AF791" t="s">
        <v>40</v>
      </c>
    </row>
    <row r="792" spans="1:32" x14ac:dyDescent="0.25">
      <c r="A792">
        <v>5</v>
      </c>
      <c r="B792">
        <v>420</v>
      </c>
      <c r="C792" t="str">
        <f t="shared" si="218"/>
        <v>51</v>
      </c>
      <c r="D792">
        <v>6319</v>
      </c>
      <c r="E792" t="str">
        <f t="shared" si="221"/>
        <v>00</v>
      </c>
      <c r="F792" t="str">
        <f t="shared" si="216"/>
        <v>999</v>
      </c>
      <c r="G792">
        <v>5</v>
      </c>
      <c r="H792" t="str">
        <f t="shared" si="219"/>
        <v>99</v>
      </c>
      <c r="I792" t="str">
        <f t="shared" si="214"/>
        <v>0</v>
      </c>
      <c r="J792" t="str">
        <f t="shared" si="220"/>
        <v>00</v>
      </c>
      <c r="K792">
        <v>20141219</v>
      </c>
      <c r="L792" t="str">
        <f>"014664"</f>
        <v>014664</v>
      </c>
      <c r="M792" t="str">
        <f>"00671"</f>
        <v>00671</v>
      </c>
      <c r="N792" t="s">
        <v>605</v>
      </c>
      <c r="O792">
        <v>7.23</v>
      </c>
      <c r="Q792" t="s">
        <v>33</v>
      </c>
      <c r="R792" t="s">
        <v>34</v>
      </c>
      <c r="S792" t="s">
        <v>35</v>
      </c>
      <c r="T792" t="s">
        <v>35</v>
      </c>
      <c r="U792" t="s">
        <v>34</v>
      </c>
      <c r="V792" t="str">
        <f>""</f>
        <v/>
      </c>
      <c r="W792">
        <v>20141219</v>
      </c>
      <c r="X792" t="s">
        <v>185</v>
      </c>
      <c r="Y792" t="s">
        <v>582</v>
      </c>
      <c r="Z792" t="s">
        <v>582</v>
      </c>
      <c r="AA792">
        <v>0</v>
      </c>
      <c r="AB792" t="s">
        <v>142</v>
      </c>
      <c r="AC792" t="s">
        <v>143</v>
      </c>
      <c r="AD792" t="s">
        <v>40</v>
      </c>
      <c r="AE792" t="str">
        <f t="shared" si="213"/>
        <v>12</v>
      </c>
      <c r="AF792" t="s">
        <v>40</v>
      </c>
    </row>
    <row r="793" spans="1:32" x14ac:dyDescent="0.25">
      <c r="A793">
        <v>5</v>
      </c>
      <c r="B793">
        <v>420</v>
      </c>
      <c r="C793" t="str">
        <f t="shared" si="218"/>
        <v>51</v>
      </c>
      <c r="D793">
        <v>6319</v>
      </c>
      <c r="E793" t="str">
        <f t="shared" si="221"/>
        <v>00</v>
      </c>
      <c r="F793" t="str">
        <f t="shared" si="216"/>
        <v>999</v>
      </c>
      <c r="G793">
        <v>5</v>
      </c>
      <c r="H793" t="str">
        <f t="shared" si="219"/>
        <v>99</v>
      </c>
      <c r="I793" t="str">
        <f t="shared" si="214"/>
        <v>0</v>
      </c>
      <c r="J793" t="str">
        <f t="shared" si="220"/>
        <v>00</v>
      </c>
      <c r="K793">
        <v>20141219</v>
      </c>
      <c r="L793" t="str">
        <f>"014664"</f>
        <v>014664</v>
      </c>
      <c r="M793" t="str">
        <f>"00671"</f>
        <v>00671</v>
      </c>
      <c r="N793" t="s">
        <v>605</v>
      </c>
      <c r="O793">
        <v>19.93</v>
      </c>
      <c r="Q793" t="s">
        <v>33</v>
      </c>
      <c r="R793" t="s">
        <v>34</v>
      </c>
      <c r="S793" t="s">
        <v>35</v>
      </c>
      <c r="T793" t="s">
        <v>35</v>
      </c>
      <c r="U793" t="s">
        <v>34</v>
      </c>
      <c r="V793" t="str">
        <f>""</f>
        <v/>
      </c>
      <c r="W793">
        <v>20141219</v>
      </c>
      <c r="X793" t="s">
        <v>185</v>
      </c>
      <c r="Y793" t="s">
        <v>582</v>
      </c>
      <c r="Z793" t="s">
        <v>582</v>
      </c>
      <c r="AA793">
        <v>0</v>
      </c>
      <c r="AB793" t="s">
        <v>142</v>
      </c>
      <c r="AC793" t="s">
        <v>143</v>
      </c>
      <c r="AD793" t="s">
        <v>40</v>
      </c>
      <c r="AE793" t="str">
        <f t="shared" si="213"/>
        <v>12</v>
      </c>
      <c r="AF793" t="s">
        <v>40</v>
      </c>
    </row>
    <row r="794" spans="1:32" x14ac:dyDescent="0.25">
      <c r="A794">
        <v>5</v>
      </c>
      <c r="B794">
        <v>420</v>
      </c>
      <c r="C794" t="str">
        <f>"41"</f>
        <v>41</v>
      </c>
      <c r="D794">
        <v>6212</v>
      </c>
      <c r="E794" t="str">
        <f t="shared" si="221"/>
        <v>00</v>
      </c>
      <c r="F794" t="str">
        <f>"750"</f>
        <v>750</v>
      </c>
      <c r="G794">
        <v>5</v>
      </c>
      <c r="H794" t="str">
        <f t="shared" si="219"/>
        <v>99</v>
      </c>
      <c r="I794" t="str">
        <f t="shared" si="214"/>
        <v>0</v>
      </c>
      <c r="J794" t="str">
        <f t="shared" si="220"/>
        <v>00</v>
      </c>
      <c r="K794">
        <v>20141219</v>
      </c>
      <c r="L794" t="str">
        <f>"014665"</f>
        <v>014665</v>
      </c>
      <c r="M794" t="str">
        <f>"00791"</f>
        <v>00791</v>
      </c>
      <c r="N794" t="s">
        <v>449</v>
      </c>
      <c r="O794" s="1">
        <v>3496</v>
      </c>
      <c r="Q794" t="s">
        <v>33</v>
      </c>
      <c r="R794" t="s">
        <v>34</v>
      </c>
      <c r="S794" t="s">
        <v>35</v>
      </c>
      <c r="T794" t="s">
        <v>35</v>
      </c>
      <c r="U794" t="s">
        <v>34</v>
      </c>
      <c r="V794" t="str">
        <f>""</f>
        <v/>
      </c>
      <c r="W794">
        <v>20141218</v>
      </c>
      <c r="X794" t="s">
        <v>450</v>
      </c>
      <c r="Y794" t="s">
        <v>451</v>
      </c>
      <c r="Z794" t="s">
        <v>451</v>
      </c>
      <c r="AA794">
        <v>0</v>
      </c>
      <c r="AB794" t="s">
        <v>142</v>
      </c>
      <c r="AC794" t="s">
        <v>170</v>
      </c>
      <c r="AD794" t="s">
        <v>40</v>
      </c>
      <c r="AE794" t="str">
        <f t="shared" si="213"/>
        <v>12</v>
      </c>
      <c r="AF794" t="s">
        <v>40</v>
      </c>
    </row>
    <row r="795" spans="1:32" x14ac:dyDescent="0.25">
      <c r="A795">
        <v>5</v>
      </c>
      <c r="B795">
        <v>420</v>
      </c>
      <c r="C795" t="str">
        <f>"11"</f>
        <v>11</v>
      </c>
      <c r="D795">
        <v>6219</v>
      </c>
      <c r="E795" t="str">
        <f t="shared" si="221"/>
        <v>00</v>
      </c>
      <c r="F795" t="str">
        <f>"999"</f>
        <v>999</v>
      </c>
      <c r="G795">
        <v>5</v>
      </c>
      <c r="H795" t="str">
        <f>"11"</f>
        <v>11</v>
      </c>
      <c r="I795" t="str">
        <f t="shared" si="214"/>
        <v>0</v>
      </c>
      <c r="J795" t="str">
        <f t="shared" si="220"/>
        <v>00</v>
      </c>
      <c r="K795">
        <v>20141219</v>
      </c>
      <c r="L795" t="str">
        <f>"014666"</f>
        <v>014666</v>
      </c>
      <c r="M795" t="str">
        <f>"00291"</f>
        <v>00291</v>
      </c>
      <c r="N795" t="s">
        <v>291</v>
      </c>
      <c r="O795">
        <v>224</v>
      </c>
      <c r="Q795" t="s">
        <v>33</v>
      </c>
      <c r="R795" t="s">
        <v>34</v>
      </c>
      <c r="S795" t="s">
        <v>35</v>
      </c>
      <c r="T795" t="s">
        <v>35</v>
      </c>
      <c r="U795" t="s">
        <v>34</v>
      </c>
      <c r="V795" t="str">
        <f>""</f>
        <v/>
      </c>
      <c r="W795">
        <v>20141219</v>
      </c>
      <c r="X795" t="s">
        <v>166</v>
      </c>
      <c r="Y795" t="s">
        <v>606</v>
      </c>
      <c r="Z795" t="s">
        <v>606</v>
      </c>
      <c r="AA795">
        <v>0</v>
      </c>
      <c r="AB795" t="s">
        <v>142</v>
      </c>
      <c r="AC795" t="s">
        <v>143</v>
      </c>
      <c r="AD795" t="s">
        <v>40</v>
      </c>
      <c r="AE795" t="str">
        <f t="shared" si="213"/>
        <v>12</v>
      </c>
      <c r="AF795" t="s">
        <v>40</v>
      </c>
    </row>
    <row r="796" spans="1:32" x14ac:dyDescent="0.25">
      <c r="A796">
        <v>5</v>
      </c>
      <c r="B796">
        <v>420</v>
      </c>
      <c r="C796" t="str">
        <f>"36"</f>
        <v>36</v>
      </c>
      <c r="D796">
        <v>6499</v>
      </c>
      <c r="E796" t="str">
        <f t="shared" si="221"/>
        <v>00</v>
      </c>
      <c r="F796" t="str">
        <f>"001"</f>
        <v>001</v>
      </c>
      <c r="G796">
        <v>5</v>
      </c>
      <c r="H796" t="str">
        <f>"91"</f>
        <v>91</v>
      </c>
      <c r="I796" t="str">
        <f t="shared" si="214"/>
        <v>0</v>
      </c>
      <c r="J796" t="str">
        <f t="shared" si="220"/>
        <v>00</v>
      </c>
      <c r="K796">
        <v>20141219</v>
      </c>
      <c r="L796" t="str">
        <f>"014667"</f>
        <v>014667</v>
      </c>
      <c r="M796" t="str">
        <f>"00812"</f>
        <v>00812</v>
      </c>
      <c r="N796" t="s">
        <v>607</v>
      </c>
      <c r="O796">
        <v>39</v>
      </c>
      <c r="Q796" t="s">
        <v>33</v>
      </c>
      <c r="R796" t="s">
        <v>34</v>
      </c>
      <c r="S796" t="s">
        <v>35</v>
      </c>
      <c r="T796" t="s">
        <v>35</v>
      </c>
      <c r="U796" t="s">
        <v>34</v>
      </c>
      <c r="V796" t="str">
        <f>""</f>
        <v/>
      </c>
      <c r="W796">
        <v>20141219</v>
      </c>
      <c r="X796" t="s">
        <v>275</v>
      </c>
      <c r="Y796" t="s">
        <v>608</v>
      </c>
      <c r="Z796" t="s">
        <v>608</v>
      </c>
      <c r="AA796">
        <v>0</v>
      </c>
      <c r="AB796" t="s">
        <v>142</v>
      </c>
      <c r="AC796" t="s">
        <v>41</v>
      </c>
      <c r="AD796" t="s">
        <v>40</v>
      </c>
      <c r="AE796" t="str">
        <f t="shared" si="213"/>
        <v>12</v>
      </c>
      <c r="AF796" t="s">
        <v>40</v>
      </c>
    </row>
    <row r="797" spans="1:32" x14ac:dyDescent="0.25">
      <c r="A797">
        <v>5</v>
      </c>
      <c r="B797">
        <v>420</v>
      </c>
      <c r="C797" t="str">
        <f>"34"</f>
        <v>34</v>
      </c>
      <c r="D797">
        <v>6249</v>
      </c>
      <c r="E797" t="str">
        <f t="shared" si="221"/>
        <v>00</v>
      </c>
      <c r="F797" t="str">
        <f>"999"</f>
        <v>999</v>
      </c>
      <c r="G797">
        <v>5</v>
      </c>
      <c r="H797" t="str">
        <f>"99"</f>
        <v>99</v>
      </c>
      <c r="I797" t="str">
        <f t="shared" si="214"/>
        <v>0</v>
      </c>
      <c r="J797" t="str">
        <f t="shared" si="220"/>
        <v>00</v>
      </c>
      <c r="K797">
        <v>20141219</v>
      </c>
      <c r="L797" t="str">
        <f>"014668"</f>
        <v>014668</v>
      </c>
      <c r="M797" t="str">
        <f>"00554"</f>
        <v>00554</v>
      </c>
      <c r="N797" t="s">
        <v>483</v>
      </c>
      <c r="O797" s="1">
        <v>1074.71</v>
      </c>
      <c r="Q797" t="s">
        <v>33</v>
      </c>
      <c r="R797" t="s">
        <v>34</v>
      </c>
      <c r="S797" t="s">
        <v>35</v>
      </c>
      <c r="T797" t="s">
        <v>35</v>
      </c>
      <c r="U797" t="s">
        <v>34</v>
      </c>
      <c r="V797" t="str">
        <f>""</f>
        <v/>
      </c>
      <c r="W797">
        <v>20141218</v>
      </c>
      <c r="X797" t="s">
        <v>484</v>
      </c>
      <c r="Y797" t="s">
        <v>609</v>
      </c>
      <c r="Z797" t="s">
        <v>609</v>
      </c>
      <c r="AA797">
        <v>0</v>
      </c>
      <c r="AB797" t="s">
        <v>142</v>
      </c>
      <c r="AC797" t="s">
        <v>143</v>
      </c>
      <c r="AD797" t="s">
        <v>40</v>
      </c>
      <c r="AE797" t="str">
        <f t="shared" si="213"/>
        <v>12</v>
      </c>
      <c r="AF797" t="s">
        <v>40</v>
      </c>
    </row>
    <row r="798" spans="1:32" x14ac:dyDescent="0.25">
      <c r="A798">
        <v>5</v>
      </c>
      <c r="B798">
        <v>420</v>
      </c>
      <c r="C798" t="str">
        <f>"11"</f>
        <v>11</v>
      </c>
      <c r="D798">
        <v>6399</v>
      </c>
      <c r="E798" t="str">
        <f t="shared" si="221"/>
        <v>00</v>
      </c>
      <c r="F798" t="str">
        <f>"001"</f>
        <v>001</v>
      </c>
      <c r="G798">
        <v>5</v>
      </c>
      <c r="H798" t="str">
        <f>"11"</f>
        <v>11</v>
      </c>
      <c r="I798" t="str">
        <f t="shared" si="214"/>
        <v>0</v>
      </c>
      <c r="J798" t="str">
        <f t="shared" si="220"/>
        <v>00</v>
      </c>
      <c r="K798">
        <v>20141219</v>
      </c>
      <c r="L798" t="str">
        <f>"014669"</f>
        <v>014669</v>
      </c>
      <c r="M798" t="str">
        <f>"00701"</f>
        <v>00701</v>
      </c>
      <c r="N798" t="s">
        <v>120</v>
      </c>
      <c r="O798">
        <v>42.78</v>
      </c>
      <c r="Q798" t="s">
        <v>33</v>
      </c>
      <c r="R798" t="s">
        <v>34</v>
      </c>
      <c r="S798" t="s">
        <v>35</v>
      </c>
      <c r="T798" t="s">
        <v>35</v>
      </c>
      <c r="U798" t="s">
        <v>34</v>
      </c>
      <c r="V798" t="str">
        <f>""</f>
        <v/>
      </c>
      <c r="W798">
        <v>20141218</v>
      </c>
      <c r="X798" t="s">
        <v>239</v>
      </c>
      <c r="Y798" t="s">
        <v>444</v>
      </c>
      <c r="Z798" t="s">
        <v>444</v>
      </c>
      <c r="AA798">
        <v>0</v>
      </c>
      <c r="AB798" t="s">
        <v>142</v>
      </c>
      <c r="AC798" t="s">
        <v>41</v>
      </c>
      <c r="AD798" t="s">
        <v>40</v>
      </c>
      <c r="AE798" t="str">
        <f t="shared" si="213"/>
        <v>12</v>
      </c>
      <c r="AF798" t="s">
        <v>40</v>
      </c>
    </row>
    <row r="799" spans="1:32" x14ac:dyDescent="0.25">
      <c r="A799">
        <v>5</v>
      </c>
      <c r="B799">
        <v>420</v>
      </c>
      <c r="C799" t="str">
        <f>"11"</f>
        <v>11</v>
      </c>
      <c r="D799">
        <v>6399</v>
      </c>
      <c r="E799" t="str">
        <f t="shared" si="221"/>
        <v>00</v>
      </c>
      <c r="F799" t="str">
        <f>"041"</f>
        <v>041</v>
      </c>
      <c r="G799">
        <v>5</v>
      </c>
      <c r="H799" t="str">
        <f>"11"</f>
        <v>11</v>
      </c>
      <c r="I799" t="str">
        <f t="shared" si="214"/>
        <v>0</v>
      </c>
      <c r="J799" t="str">
        <f t="shared" si="220"/>
        <v>00</v>
      </c>
      <c r="K799">
        <v>20141219</v>
      </c>
      <c r="L799" t="str">
        <f>"014669"</f>
        <v>014669</v>
      </c>
      <c r="M799" t="str">
        <f>"00701"</f>
        <v>00701</v>
      </c>
      <c r="N799" t="s">
        <v>120</v>
      </c>
      <c r="O799">
        <v>42.79</v>
      </c>
      <c r="Q799" t="s">
        <v>33</v>
      </c>
      <c r="R799" t="s">
        <v>34</v>
      </c>
      <c r="S799" t="s">
        <v>35</v>
      </c>
      <c r="T799" t="s">
        <v>35</v>
      </c>
      <c r="U799" t="s">
        <v>34</v>
      </c>
      <c r="V799" t="str">
        <f>""</f>
        <v/>
      </c>
      <c r="W799">
        <v>20141218</v>
      </c>
      <c r="X799" t="s">
        <v>241</v>
      </c>
      <c r="Y799" t="s">
        <v>444</v>
      </c>
      <c r="Z799" t="s">
        <v>444</v>
      </c>
      <c r="AA799">
        <v>0</v>
      </c>
      <c r="AB799" t="s">
        <v>142</v>
      </c>
      <c r="AC799" t="s">
        <v>41</v>
      </c>
      <c r="AD799" t="s">
        <v>40</v>
      </c>
      <c r="AE799" t="str">
        <f t="shared" si="213"/>
        <v>12</v>
      </c>
      <c r="AF799" t="s">
        <v>40</v>
      </c>
    </row>
    <row r="800" spans="1:32" x14ac:dyDescent="0.25">
      <c r="A800">
        <v>5</v>
      </c>
      <c r="B800">
        <v>420</v>
      </c>
      <c r="C800" t="str">
        <f>"11"</f>
        <v>11</v>
      </c>
      <c r="D800">
        <v>6399</v>
      </c>
      <c r="E800" t="str">
        <f t="shared" si="221"/>
        <v>00</v>
      </c>
      <c r="F800" t="str">
        <f>"101"</f>
        <v>101</v>
      </c>
      <c r="G800">
        <v>5</v>
      </c>
      <c r="H800" t="str">
        <f>"11"</f>
        <v>11</v>
      </c>
      <c r="I800" t="str">
        <f t="shared" si="214"/>
        <v>0</v>
      </c>
      <c r="J800" t="str">
        <f t="shared" si="220"/>
        <v>00</v>
      </c>
      <c r="K800">
        <v>20141219</v>
      </c>
      <c r="L800" t="str">
        <f>"014669"</f>
        <v>014669</v>
      </c>
      <c r="M800" t="str">
        <f>"00701"</f>
        <v>00701</v>
      </c>
      <c r="N800" t="s">
        <v>120</v>
      </c>
      <c r="O800">
        <v>181.85</v>
      </c>
      <c r="Q800" t="s">
        <v>33</v>
      </c>
      <c r="R800" t="s">
        <v>34</v>
      </c>
      <c r="S800" t="s">
        <v>35</v>
      </c>
      <c r="T800" t="s">
        <v>35</v>
      </c>
      <c r="U800" t="s">
        <v>34</v>
      </c>
      <c r="V800" t="str">
        <f>""</f>
        <v/>
      </c>
      <c r="W800">
        <v>20141218</v>
      </c>
      <c r="X800" t="s">
        <v>246</v>
      </c>
      <c r="Y800" t="s">
        <v>444</v>
      </c>
      <c r="Z800" t="s">
        <v>444</v>
      </c>
      <c r="AA800">
        <v>0</v>
      </c>
      <c r="AB800" t="s">
        <v>142</v>
      </c>
      <c r="AC800" t="s">
        <v>41</v>
      </c>
      <c r="AD800" t="s">
        <v>40</v>
      </c>
      <c r="AE800" t="str">
        <f t="shared" si="213"/>
        <v>12</v>
      </c>
      <c r="AF800" t="s">
        <v>40</v>
      </c>
    </row>
    <row r="801" spans="1:32" x14ac:dyDescent="0.25">
      <c r="A801">
        <v>5</v>
      </c>
      <c r="B801">
        <v>420</v>
      </c>
      <c r="C801" t="str">
        <f>"11"</f>
        <v>11</v>
      </c>
      <c r="D801">
        <v>6399</v>
      </c>
      <c r="E801" t="str">
        <f t="shared" si="221"/>
        <v>00</v>
      </c>
      <c r="F801" t="str">
        <f>"999"</f>
        <v>999</v>
      </c>
      <c r="G801">
        <v>5</v>
      </c>
      <c r="H801" t="str">
        <f>"11"</f>
        <v>11</v>
      </c>
      <c r="I801" t="str">
        <f t="shared" si="214"/>
        <v>0</v>
      </c>
      <c r="J801" t="str">
        <f t="shared" si="220"/>
        <v>00</v>
      </c>
      <c r="K801">
        <v>20141219</v>
      </c>
      <c r="L801" t="str">
        <f>"014669"</f>
        <v>014669</v>
      </c>
      <c r="M801" t="str">
        <f>"00701"</f>
        <v>00701</v>
      </c>
      <c r="N801" t="s">
        <v>120</v>
      </c>
      <c r="O801">
        <v>11.4</v>
      </c>
      <c r="Q801" t="s">
        <v>33</v>
      </c>
      <c r="R801" t="s">
        <v>34</v>
      </c>
      <c r="S801" t="s">
        <v>35</v>
      </c>
      <c r="T801" t="s">
        <v>35</v>
      </c>
      <c r="U801" t="s">
        <v>34</v>
      </c>
      <c r="V801" t="str">
        <f>""</f>
        <v/>
      </c>
      <c r="W801">
        <v>20141218</v>
      </c>
      <c r="X801" t="s">
        <v>385</v>
      </c>
      <c r="Y801" t="s">
        <v>444</v>
      </c>
      <c r="Z801" t="s">
        <v>444</v>
      </c>
      <c r="AA801">
        <v>0</v>
      </c>
      <c r="AB801" t="s">
        <v>142</v>
      </c>
      <c r="AC801" t="s">
        <v>143</v>
      </c>
      <c r="AD801" t="s">
        <v>40</v>
      </c>
      <c r="AE801" t="str">
        <f t="shared" si="213"/>
        <v>12</v>
      </c>
      <c r="AF801" t="s">
        <v>40</v>
      </c>
    </row>
    <row r="802" spans="1:32" x14ac:dyDescent="0.25">
      <c r="A802">
        <v>5</v>
      </c>
      <c r="B802">
        <v>240</v>
      </c>
      <c r="C802" t="str">
        <f>"35"</f>
        <v>35</v>
      </c>
      <c r="D802">
        <v>6341</v>
      </c>
      <c r="E802" t="str">
        <f t="shared" si="221"/>
        <v>00</v>
      </c>
      <c r="F802" t="str">
        <f>"999"</f>
        <v>999</v>
      </c>
      <c r="G802">
        <v>5</v>
      </c>
      <c r="H802" t="str">
        <f t="shared" ref="H802:H807" si="222">"99"</f>
        <v>99</v>
      </c>
      <c r="I802" t="str">
        <f t="shared" si="214"/>
        <v>0</v>
      </c>
      <c r="J802" t="str">
        <f t="shared" si="220"/>
        <v>00</v>
      </c>
      <c r="K802">
        <v>20141219</v>
      </c>
      <c r="L802" t="str">
        <f>"014670"</f>
        <v>014670</v>
      </c>
      <c r="M802" t="str">
        <f>"00391"</f>
        <v>00391</v>
      </c>
      <c r="N802" t="s">
        <v>265</v>
      </c>
      <c r="O802">
        <v>114.06</v>
      </c>
      <c r="Q802" t="s">
        <v>33</v>
      </c>
      <c r="R802" t="s">
        <v>34</v>
      </c>
      <c r="S802" t="s">
        <v>35</v>
      </c>
      <c r="T802" t="s">
        <v>35</v>
      </c>
      <c r="U802" t="s">
        <v>34</v>
      </c>
      <c r="V802" t="str">
        <f>""</f>
        <v/>
      </c>
      <c r="W802">
        <v>20141218</v>
      </c>
      <c r="X802" t="s">
        <v>268</v>
      </c>
      <c r="Y802" t="s">
        <v>557</v>
      </c>
      <c r="Z802" t="s">
        <v>557</v>
      </c>
      <c r="AA802">
        <v>0</v>
      </c>
      <c r="AB802" t="s">
        <v>238</v>
      </c>
      <c r="AC802" t="s">
        <v>143</v>
      </c>
      <c r="AD802" t="s">
        <v>40</v>
      </c>
      <c r="AE802" t="str">
        <f t="shared" si="213"/>
        <v>12</v>
      </c>
      <c r="AF802" t="s">
        <v>40</v>
      </c>
    </row>
    <row r="803" spans="1:32" x14ac:dyDescent="0.25">
      <c r="A803">
        <v>5</v>
      </c>
      <c r="B803">
        <v>420</v>
      </c>
      <c r="C803" t="str">
        <f>"41"</f>
        <v>41</v>
      </c>
      <c r="D803">
        <v>6219</v>
      </c>
      <c r="E803" t="str">
        <f t="shared" si="221"/>
        <v>00</v>
      </c>
      <c r="F803" t="str">
        <f>"750"</f>
        <v>750</v>
      </c>
      <c r="G803">
        <v>5</v>
      </c>
      <c r="H803" t="str">
        <f t="shared" si="222"/>
        <v>99</v>
      </c>
      <c r="I803" t="str">
        <f t="shared" si="214"/>
        <v>0</v>
      </c>
      <c r="J803" t="str">
        <f t="shared" si="220"/>
        <v>00</v>
      </c>
      <c r="K803">
        <v>20141219</v>
      </c>
      <c r="L803" t="str">
        <f>"014671"</f>
        <v>014671</v>
      </c>
      <c r="M803" t="str">
        <f>"00678"</f>
        <v>00678</v>
      </c>
      <c r="N803" t="s">
        <v>270</v>
      </c>
      <c r="O803" s="1">
        <v>1422.5</v>
      </c>
      <c r="Q803" t="s">
        <v>33</v>
      </c>
      <c r="R803" t="s">
        <v>34</v>
      </c>
      <c r="S803" t="s">
        <v>35</v>
      </c>
      <c r="T803" t="s">
        <v>35</v>
      </c>
      <c r="U803" t="s">
        <v>34</v>
      </c>
      <c r="V803" t="str">
        <f>""</f>
        <v/>
      </c>
      <c r="W803">
        <v>20141218</v>
      </c>
      <c r="X803" t="s">
        <v>255</v>
      </c>
      <c r="Y803" t="s">
        <v>519</v>
      </c>
      <c r="Z803" t="s">
        <v>519</v>
      </c>
      <c r="AA803">
        <v>0</v>
      </c>
      <c r="AB803" t="s">
        <v>142</v>
      </c>
      <c r="AC803" t="s">
        <v>170</v>
      </c>
      <c r="AD803" t="s">
        <v>40</v>
      </c>
      <c r="AE803" t="str">
        <f t="shared" si="213"/>
        <v>12</v>
      </c>
      <c r="AF803" t="s">
        <v>40</v>
      </c>
    </row>
    <row r="804" spans="1:32" x14ac:dyDescent="0.25">
      <c r="A804">
        <v>5</v>
      </c>
      <c r="B804">
        <v>420</v>
      </c>
      <c r="C804" t="str">
        <f>"51"</f>
        <v>51</v>
      </c>
      <c r="D804">
        <v>6219</v>
      </c>
      <c r="E804" t="str">
        <f t="shared" si="221"/>
        <v>00</v>
      </c>
      <c r="F804" t="str">
        <f>"999"</f>
        <v>999</v>
      </c>
      <c r="G804">
        <v>5</v>
      </c>
      <c r="H804" t="str">
        <f t="shared" si="222"/>
        <v>99</v>
      </c>
      <c r="I804" t="str">
        <f t="shared" si="214"/>
        <v>0</v>
      </c>
      <c r="J804" t="str">
        <f t="shared" si="220"/>
        <v>00</v>
      </c>
      <c r="K804">
        <v>20141219</v>
      </c>
      <c r="L804" t="str">
        <f>"014672"</f>
        <v>014672</v>
      </c>
      <c r="M804" t="str">
        <f>"00712"</f>
        <v>00712</v>
      </c>
      <c r="N804" t="s">
        <v>610</v>
      </c>
      <c r="O804">
        <v>130</v>
      </c>
      <c r="Q804" t="s">
        <v>33</v>
      </c>
      <c r="R804" t="s">
        <v>34</v>
      </c>
      <c r="S804" t="s">
        <v>35</v>
      </c>
      <c r="T804" t="s">
        <v>35</v>
      </c>
      <c r="U804" t="s">
        <v>34</v>
      </c>
      <c r="V804" t="str">
        <f>""</f>
        <v/>
      </c>
      <c r="W804">
        <v>20141218</v>
      </c>
      <c r="X804" t="s">
        <v>183</v>
      </c>
      <c r="Y804" t="s">
        <v>611</v>
      </c>
      <c r="Z804" t="s">
        <v>611</v>
      </c>
      <c r="AA804">
        <v>0</v>
      </c>
      <c r="AB804" t="s">
        <v>142</v>
      </c>
      <c r="AC804" t="s">
        <v>143</v>
      </c>
      <c r="AD804" t="s">
        <v>40</v>
      </c>
      <c r="AE804" t="str">
        <f t="shared" si="213"/>
        <v>12</v>
      </c>
      <c r="AF804" t="s">
        <v>40</v>
      </c>
    </row>
    <row r="805" spans="1:32" x14ac:dyDescent="0.25">
      <c r="A805">
        <v>5</v>
      </c>
      <c r="B805">
        <v>420</v>
      </c>
      <c r="C805" t="str">
        <f>"51"</f>
        <v>51</v>
      </c>
      <c r="D805">
        <v>6319</v>
      </c>
      <c r="E805" t="str">
        <f t="shared" si="221"/>
        <v>00</v>
      </c>
      <c r="F805" t="str">
        <f>"999"</f>
        <v>999</v>
      </c>
      <c r="G805">
        <v>5</v>
      </c>
      <c r="H805" t="str">
        <f t="shared" si="222"/>
        <v>99</v>
      </c>
      <c r="I805" t="str">
        <f t="shared" si="214"/>
        <v>0</v>
      </c>
      <c r="J805" t="str">
        <f t="shared" si="220"/>
        <v>00</v>
      </c>
      <c r="K805">
        <v>20141219</v>
      </c>
      <c r="L805" t="str">
        <f>"014672"</f>
        <v>014672</v>
      </c>
      <c r="M805" t="str">
        <f>"00712"</f>
        <v>00712</v>
      </c>
      <c r="N805" t="s">
        <v>610</v>
      </c>
      <c r="O805">
        <v>232</v>
      </c>
      <c r="Q805" t="s">
        <v>33</v>
      </c>
      <c r="R805" t="s">
        <v>34</v>
      </c>
      <c r="S805" t="s">
        <v>35</v>
      </c>
      <c r="T805" t="s">
        <v>35</v>
      </c>
      <c r="U805" t="s">
        <v>34</v>
      </c>
      <c r="V805" t="str">
        <f>""</f>
        <v/>
      </c>
      <c r="W805">
        <v>20141218</v>
      </c>
      <c r="X805" t="s">
        <v>185</v>
      </c>
      <c r="Y805" t="s">
        <v>611</v>
      </c>
      <c r="Z805" t="s">
        <v>611</v>
      </c>
      <c r="AA805">
        <v>0</v>
      </c>
      <c r="AB805" t="s">
        <v>142</v>
      </c>
      <c r="AC805" t="s">
        <v>143</v>
      </c>
      <c r="AD805" t="s">
        <v>40</v>
      </c>
      <c r="AE805" t="str">
        <f t="shared" si="213"/>
        <v>12</v>
      </c>
      <c r="AF805" t="s">
        <v>40</v>
      </c>
    </row>
    <row r="806" spans="1:32" x14ac:dyDescent="0.25">
      <c r="A806">
        <v>5</v>
      </c>
      <c r="B806">
        <v>240</v>
      </c>
      <c r="C806" t="str">
        <f>"35"</f>
        <v>35</v>
      </c>
      <c r="D806">
        <v>6299</v>
      </c>
      <c r="E806" t="str">
        <f t="shared" si="221"/>
        <v>00</v>
      </c>
      <c r="F806" t="str">
        <f>"999"</f>
        <v>999</v>
      </c>
      <c r="G806">
        <v>5</v>
      </c>
      <c r="H806" t="str">
        <f t="shared" si="222"/>
        <v>99</v>
      </c>
      <c r="I806" t="str">
        <f t="shared" si="214"/>
        <v>0</v>
      </c>
      <c r="J806" t="str">
        <f t="shared" si="220"/>
        <v>00</v>
      </c>
      <c r="K806">
        <v>20141219</v>
      </c>
      <c r="L806" t="str">
        <f>"014673"</f>
        <v>014673</v>
      </c>
      <c r="M806" t="str">
        <f>"00577"</f>
        <v>00577</v>
      </c>
      <c r="N806" t="s">
        <v>251</v>
      </c>
      <c r="O806">
        <v>202.62</v>
      </c>
      <c r="Q806" t="s">
        <v>33</v>
      </c>
      <c r="R806" t="s">
        <v>34</v>
      </c>
      <c r="S806" t="s">
        <v>35</v>
      </c>
      <c r="T806" t="s">
        <v>35</v>
      </c>
      <c r="U806" t="s">
        <v>34</v>
      </c>
      <c r="V806" t="str">
        <f>""</f>
        <v/>
      </c>
      <c r="W806">
        <v>20141218</v>
      </c>
      <c r="X806" t="s">
        <v>252</v>
      </c>
      <c r="Y806" t="s">
        <v>253</v>
      </c>
      <c r="Z806" t="s">
        <v>253</v>
      </c>
      <c r="AA806">
        <v>0</v>
      </c>
      <c r="AB806" t="s">
        <v>238</v>
      </c>
      <c r="AC806" t="s">
        <v>143</v>
      </c>
      <c r="AD806" t="s">
        <v>40</v>
      </c>
      <c r="AE806" t="str">
        <f t="shared" si="213"/>
        <v>12</v>
      </c>
      <c r="AF806" t="s">
        <v>40</v>
      </c>
    </row>
    <row r="807" spans="1:32" x14ac:dyDescent="0.25">
      <c r="A807">
        <v>5</v>
      </c>
      <c r="B807">
        <v>420</v>
      </c>
      <c r="C807" t="str">
        <f>"51"</f>
        <v>51</v>
      </c>
      <c r="D807">
        <v>6299</v>
      </c>
      <c r="E807" t="str">
        <f t="shared" si="221"/>
        <v>00</v>
      </c>
      <c r="F807" t="str">
        <f>"999"</f>
        <v>999</v>
      </c>
      <c r="G807">
        <v>5</v>
      </c>
      <c r="H807" t="str">
        <f t="shared" si="222"/>
        <v>99</v>
      </c>
      <c r="I807" t="str">
        <f t="shared" si="214"/>
        <v>0</v>
      </c>
      <c r="J807" t="str">
        <f t="shared" si="220"/>
        <v>00</v>
      </c>
      <c r="K807">
        <v>20141219</v>
      </c>
      <c r="L807" t="str">
        <f>"014673"</f>
        <v>014673</v>
      </c>
      <c r="M807" t="str">
        <f>"00577"</f>
        <v>00577</v>
      </c>
      <c r="N807" t="s">
        <v>251</v>
      </c>
      <c r="O807">
        <v>63.72</v>
      </c>
      <c r="Q807" t="s">
        <v>33</v>
      </c>
      <c r="R807" t="s">
        <v>34</v>
      </c>
      <c r="S807" t="s">
        <v>35</v>
      </c>
      <c r="T807" t="s">
        <v>35</v>
      </c>
      <c r="U807" t="s">
        <v>34</v>
      </c>
      <c r="V807" t="str">
        <f>""</f>
        <v/>
      </c>
      <c r="W807">
        <v>20141218</v>
      </c>
      <c r="X807" t="s">
        <v>203</v>
      </c>
      <c r="Y807" t="s">
        <v>253</v>
      </c>
      <c r="Z807" t="s">
        <v>253</v>
      </c>
      <c r="AA807">
        <v>0</v>
      </c>
      <c r="AB807" t="s">
        <v>142</v>
      </c>
      <c r="AC807" t="s">
        <v>143</v>
      </c>
      <c r="AD807" t="s">
        <v>40</v>
      </c>
      <c r="AE807" t="str">
        <f t="shared" si="213"/>
        <v>12</v>
      </c>
      <c r="AF807" t="s">
        <v>40</v>
      </c>
    </row>
    <row r="808" spans="1:32" x14ac:dyDescent="0.25">
      <c r="A808">
        <v>5</v>
      </c>
      <c r="B808">
        <v>420</v>
      </c>
      <c r="C808" t="str">
        <f>"11"</f>
        <v>11</v>
      </c>
      <c r="D808">
        <v>6399</v>
      </c>
      <c r="E808" t="str">
        <f t="shared" si="221"/>
        <v>00</v>
      </c>
      <c r="F808" t="str">
        <f>"001"</f>
        <v>001</v>
      </c>
      <c r="G808">
        <v>5</v>
      </c>
      <c r="H808" t="str">
        <f>"11"</f>
        <v>11</v>
      </c>
      <c r="I808" t="str">
        <f t="shared" si="214"/>
        <v>0</v>
      </c>
      <c r="J808" t="str">
        <f t="shared" si="220"/>
        <v>00</v>
      </c>
      <c r="K808">
        <v>20141219</v>
      </c>
      <c r="L808" t="str">
        <f>"014674"</f>
        <v>014674</v>
      </c>
      <c r="M808" t="str">
        <f>"00374"</f>
        <v>00374</v>
      </c>
      <c r="N808" t="s">
        <v>408</v>
      </c>
      <c r="O808">
        <v>43.36</v>
      </c>
      <c r="Q808" t="s">
        <v>33</v>
      </c>
      <c r="R808" t="s">
        <v>34</v>
      </c>
      <c r="S808" t="s">
        <v>35</v>
      </c>
      <c r="T808" t="s">
        <v>35</v>
      </c>
      <c r="U808" t="s">
        <v>34</v>
      </c>
      <c r="V808" t="str">
        <f>""</f>
        <v/>
      </c>
      <c r="W808">
        <v>20141218</v>
      </c>
      <c r="X808" t="s">
        <v>239</v>
      </c>
      <c r="Y808" t="s">
        <v>612</v>
      </c>
      <c r="Z808" t="s">
        <v>612</v>
      </c>
      <c r="AA808">
        <v>0</v>
      </c>
      <c r="AB808" t="s">
        <v>142</v>
      </c>
      <c r="AC808" t="s">
        <v>41</v>
      </c>
      <c r="AD808" t="s">
        <v>40</v>
      </c>
      <c r="AE808" t="str">
        <f t="shared" si="213"/>
        <v>12</v>
      </c>
      <c r="AF808" t="s">
        <v>40</v>
      </c>
    </row>
    <row r="809" spans="1:32" x14ac:dyDescent="0.25">
      <c r="A809">
        <v>5</v>
      </c>
      <c r="B809">
        <v>420</v>
      </c>
      <c r="C809" t="str">
        <f>"11"</f>
        <v>11</v>
      </c>
      <c r="D809">
        <v>6399</v>
      </c>
      <c r="E809" t="str">
        <f t="shared" si="221"/>
        <v>00</v>
      </c>
      <c r="F809" t="str">
        <f>"041"</f>
        <v>041</v>
      </c>
      <c r="G809">
        <v>5</v>
      </c>
      <c r="H809" t="str">
        <f>"11"</f>
        <v>11</v>
      </c>
      <c r="I809" t="str">
        <f t="shared" si="214"/>
        <v>0</v>
      </c>
      <c r="J809" t="str">
        <f t="shared" si="220"/>
        <v>00</v>
      </c>
      <c r="K809">
        <v>20141219</v>
      </c>
      <c r="L809" t="str">
        <f>"014674"</f>
        <v>014674</v>
      </c>
      <c r="M809" t="str">
        <f>"00374"</f>
        <v>00374</v>
      </c>
      <c r="N809" t="s">
        <v>408</v>
      </c>
      <c r="O809">
        <v>43.36</v>
      </c>
      <c r="Q809" t="s">
        <v>33</v>
      </c>
      <c r="R809" t="s">
        <v>34</v>
      </c>
      <c r="S809" t="s">
        <v>35</v>
      </c>
      <c r="T809" t="s">
        <v>35</v>
      </c>
      <c r="U809" t="s">
        <v>34</v>
      </c>
      <c r="V809" t="str">
        <f>""</f>
        <v/>
      </c>
      <c r="W809">
        <v>20141218</v>
      </c>
      <c r="X809" t="s">
        <v>241</v>
      </c>
      <c r="Y809" t="s">
        <v>612</v>
      </c>
      <c r="Z809" t="s">
        <v>612</v>
      </c>
      <c r="AA809">
        <v>0</v>
      </c>
      <c r="AB809" t="s">
        <v>142</v>
      </c>
      <c r="AC809" t="s">
        <v>41</v>
      </c>
      <c r="AD809" t="s">
        <v>40</v>
      </c>
      <c r="AE809" t="str">
        <f t="shared" si="213"/>
        <v>12</v>
      </c>
      <c r="AF809" t="s">
        <v>40</v>
      </c>
    </row>
    <row r="810" spans="1:32" x14ac:dyDescent="0.25">
      <c r="A810">
        <v>5</v>
      </c>
      <c r="B810">
        <v>420</v>
      </c>
      <c r="C810" t="str">
        <f>"11"</f>
        <v>11</v>
      </c>
      <c r="D810">
        <v>6399</v>
      </c>
      <c r="E810" t="str">
        <f t="shared" si="221"/>
        <v>00</v>
      </c>
      <c r="F810" t="str">
        <f>"101"</f>
        <v>101</v>
      </c>
      <c r="G810">
        <v>5</v>
      </c>
      <c r="H810" t="str">
        <f>"11"</f>
        <v>11</v>
      </c>
      <c r="I810" t="str">
        <f t="shared" si="214"/>
        <v>0</v>
      </c>
      <c r="J810" t="str">
        <f t="shared" si="220"/>
        <v>00</v>
      </c>
      <c r="K810">
        <v>20141219</v>
      </c>
      <c r="L810" t="str">
        <f>"014674"</f>
        <v>014674</v>
      </c>
      <c r="M810" t="str">
        <f>"00374"</f>
        <v>00374</v>
      </c>
      <c r="N810" t="s">
        <v>408</v>
      </c>
      <c r="O810">
        <v>184.28</v>
      </c>
      <c r="Q810" t="s">
        <v>33</v>
      </c>
      <c r="R810" t="s">
        <v>34</v>
      </c>
      <c r="S810" t="s">
        <v>35</v>
      </c>
      <c r="T810" t="s">
        <v>35</v>
      </c>
      <c r="U810" t="s">
        <v>34</v>
      </c>
      <c r="V810" t="str">
        <f>""</f>
        <v/>
      </c>
      <c r="W810">
        <v>20141218</v>
      </c>
      <c r="X810" t="s">
        <v>246</v>
      </c>
      <c r="Y810" t="s">
        <v>612</v>
      </c>
      <c r="Z810" t="s">
        <v>612</v>
      </c>
      <c r="AA810">
        <v>0</v>
      </c>
      <c r="AB810" t="s">
        <v>142</v>
      </c>
      <c r="AC810" t="s">
        <v>41</v>
      </c>
      <c r="AD810" t="s">
        <v>40</v>
      </c>
      <c r="AE810" t="str">
        <f t="shared" si="213"/>
        <v>12</v>
      </c>
      <c r="AF810" t="s">
        <v>40</v>
      </c>
    </row>
    <row r="811" spans="1:32" x14ac:dyDescent="0.25">
      <c r="A811">
        <v>5</v>
      </c>
      <c r="B811">
        <v>420</v>
      </c>
      <c r="C811" t="str">
        <f t="shared" ref="C811:C820" si="223">"00"</f>
        <v>00</v>
      </c>
      <c r="D811">
        <v>2153</v>
      </c>
      <c r="E811" t="str">
        <f t="shared" si="221"/>
        <v>00</v>
      </c>
      <c r="F811" t="str">
        <f>"008"</f>
        <v>008</v>
      </c>
      <c r="G811">
        <v>5</v>
      </c>
      <c r="H811" t="str">
        <f t="shared" ref="H811:H820" si="224">"00"</f>
        <v>00</v>
      </c>
      <c r="I811" t="str">
        <f t="shared" si="214"/>
        <v>0</v>
      </c>
      <c r="J811" t="str">
        <f t="shared" si="220"/>
        <v>00</v>
      </c>
      <c r="K811">
        <v>20141222</v>
      </c>
      <c r="L811" t="str">
        <f>"014675"</f>
        <v>014675</v>
      </c>
      <c r="M811" t="str">
        <f>"00012"</f>
        <v>00012</v>
      </c>
      <c r="N811" t="s">
        <v>279</v>
      </c>
      <c r="O811">
        <v>445.94</v>
      </c>
      <c r="Q811" t="s">
        <v>33</v>
      </c>
      <c r="R811" t="s">
        <v>34</v>
      </c>
      <c r="S811" t="s">
        <v>35</v>
      </c>
      <c r="T811" t="s">
        <v>35</v>
      </c>
      <c r="U811" t="s">
        <v>34</v>
      </c>
      <c r="V811" t="str">
        <f>""</f>
        <v/>
      </c>
      <c r="W811">
        <v>20141222</v>
      </c>
      <c r="X811" t="s">
        <v>280</v>
      </c>
      <c r="Y811" t="s">
        <v>538</v>
      </c>
      <c r="Z811" t="s">
        <v>538</v>
      </c>
      <c r="AA811">
        <v>0</v>
      </c>
      <c r="AB811" t="s">
        <v>142</v>
      </c>
      <c r="AC811" t="s">
        <v>282</v>
      </c>
      <c r="AD811" t="s">
        <v>144</v>
      </c>
      <c r="AE811" t="str">
        <f t="shared" si="213"/>
        <v>12</v>
      </c>
      <c r="AF811" t="s">
        <v>40</v>
      </c>
    </row>
    <row r="812" spans="1:32" x14ac:dyDescent="0.25">
      <c r="A812">
        <v>5</v>
      </c>
      <c r="B812">
        <v>420</v>
      </c>
      <c r="C812" t="str">
        <f t="shared" si="223"/>
        <v>00</v>
      </c>
      <c r="D812">
        <v>2159</v>
      </c>
      <c r="E812" t="str">
        <f t="shared" si="221"/>
        <v>00</v>
      </c>
      <c r="F812" t="str">
        <f>"009"</f>
        <v>009</v>
      </c>
      <c r="G812">
        <v>5</v>
      </c>
      <c r="H812" t="str">
        <f t="shared" si="224"/>
        <v>00</v>
      </c>
      <c r="I812" t="str">
        <f t="shared" si="214"/>
        <v>0</v>
      </c>
      <c r="J812" t="str">
        <f t="shared" si="220"/>
        <v>00</v>
      </c>
      <c r="K812">
        <v>20141222</v>
      </c>
      <c r="L812" t="str">
        <f>"014675"</f>
        <v>014675</v>
      </c>
      <c r="M812" t="str">
        <f>"00012"</f>
        <v>00012</v>
      </c>
      <c r="N812" t="s">
        <v>279</v>
      </c>
      <c r="O812">
        <v>380.11</v>
      </c>
      <c r="Q812" t="s">
        <v>33</v>
      </c>
      <c r="R812" t="s">
        <v>34</v>
      </c>
      <c r="S812" t="s">
        <v>35</v>
      </c>
      <c r="T812" t="s">
        <v>35</v>
      </c>
      <c r="U812" t="s">
        <v>34</v>
      </c>
      <c r="V812" t="str">
        <f>""</f>
        <v/>
      </c>
      <c r="W812">
        <v>20141222</v>
      </c>
      <c r="X812" t="s">
        <v>283</v>
      </c>
      <c r="Y812" t="s">
        <v>572</v>
      </c>
      <c r="Z812" t="s">
        <v>572</v>
      </c>
      <c r="AA812">
        <v>0</v>
      </c>
      <c r="AB812" t="s">
        <v>142</v>
      </c>
      <c r="AC812" t="s">
        <v>285</v>
      </c>
      <c r="AD812" t="s">
        <v>144</v>
      </c>
      <c r="AE812" t="str">
        <f t="shared" si="213"/>
        <v>12</v>
      </c>
      <c r="AF812" t="s">
        <v>40</v>
      </c>
    </row>
    <row r="813" spans="1:32" x14ac:dyDescent="0.25">
      <c r="A813">
        <v>5</v>
      </c>
      <c r="B813">
        <v>420</v>
      </c>
      <c r="C813" t="str">
        <f t="shared" si="223"/>
        <v>00</v>
      </c>
      <c r="D813">
        <v>2153</v>
      </c>
      <c r="E813" t="str">
        <f t="shared" si="221"/>
        <v>00</v>
      </c>
      <c r="F813" t="str">
        <f>"005"</f>
        <v>005</v>
      </c>
      <c r="G813">
        <v>5</v>
      </c>
      <c r="H813" t="str">
        <f t="shared" si="224"/>
        <v>00</v>
      </c>
      <c r="I813" t="str">
        <f t="shared" si="214"/>
        <v>0</v>
      </c>
      <c r="J813" t="str">
        <f t="shared" si="220"/>
        <v>00</v>
      </c>
      <c r="K813">
        <v>20141222</v>
      </c>
      <c r="L813" t="str">
        <f>"014676"</f>
        <v>014676</v>
      </c>
      <c r="M813" t="str">
        <f>"00226"</f>
        <v>00226</v>
      </c>
      <c r="N813" t="s">
        <v>286</v>
      </c>
      <c r="O813">
        <v>845.69</v>
      </c>
      <c r="Q813" t="s">
        <v>33</v>
      </c>
      <c r="R813" t="s">
        <v>34</v>
      </c>
      <c r="S813" t="s">
        <v>35</v>
      </c>
      <c r="T813" t="s">
        <v>35</v>
      </c>
      <c r="U813" t="s">
        <v>34</v>
      </c>
      <c r="V813" t="str">
        <f>""</f>
        <v/>
      </c>
      <c r="W813">
        <v>20141222</v>
      </c>
      <c r="X813" t="s">
        <v>287</v>
      </c>
      <c r="Y813" t="s">
        <v>538</v>
      </c>
      <c r="Z813" t="s">
        <v>538</v>
      </c>
      <c r="AA813">
        <v>0</v>
      </c>
      <c r="AB813" t="s">
        <v>142</v>
      </c>
      <c r="AC813" t="s">
        <v>288</v>
      </c>
      <c r="AD813" t="s">
        <v>144</v>
      </c>
      <c r="AE813" t="str">
        <f t="shared" si="213"/>
        <v>12</v>
      </c>
      <c r="AF813" t="s">
        <v>40</v>
      </c>
    </row>
    <row r="814" spans="1:32" x14ac:dyDescent="0.25">
      <c r="A814">
        <v>5</v>
      </c>
      <c r="B814">
        <v>420</v>
      </c>
      <c r="C814" t="str">
        <f t="shared" si="223"/>
        <v>00</v>
      </c>
      <c r="D814">
        <v>2153</v>
      </c>
      <c r="E814" t="str">
        <f t="shared" si="221"/>
        <v>00</v>
      </c>
      <c r="F814" t="str">
        <f>"006"</f>
        <v>006</v>
      </c>
      <c r="G814">
        <v>5</v>
      </c>
      <c r="H814" t="str">
        <f t="shared" si="224"/>
        <v>00</v>
      </c>
      <c r="I814" t="str">
        <f t="shared" si="214"/>
        <v>0</v>
      </c>
      <c r="J814" t="str">
        <f t="shared" si="220"/>
        <v>00</v>
      </c>
      <c r="K814">
        <v>20141222</v>
      </c>
      <c r="L814" t="str">
        <f>"014676"</f>
        <v>014676</v>
      </c>
      <c r="M814" t="str">
        <f>"00226"</f>
        <v>00226</v>
      </c>
      <c r="N814" t="s">
        <v>286</v>
      </c>
      <c r="O814">
        <v>147.19999999999999</v>
      </c>
      <c r="Q814" t="s">
        <v>33</v>
      </c>
      <c r="R814" t="s">
        <v>34</v>
      </c>
      <c r="S814" t="s">
        <v>35</v>
      </c>
      <c r="T814" t="s">
        <v>35</v>
      </c>
      <c r="U814" t="s">
        <v>34</v>
      </c>
      <c r="V814" t="str">
        <f>""</f>
        <v/>
      </c>
      <c r="W814">
        <v>20141222</v>
      </c>
      <c r="X814" t="s">
        <v>289</v>
      </c>
      <c r="Y814" t="s">
        <v>538</v>
      </c>
      <c r="Z814" t="s">
        <v>538</v>
      </c>
      <c r="AA814">
        <v>0</v>
      </c>
      <c r="AB814" t="s">
        <v>142</v>
      </c>
      <c r="AC814" t="s">
        <v>290</v>
      </c>
      <c r="AD814" t="s">
        <v>144</v>
      </c>
      <c r="AE814" t="str">
        <f t="shared" si="213"/>
        <v>12</v>
      </c>
      <c r="AF814" t="s">
        <v>40</v>
      </c>
    </row>
    <row r="815" spans="1:32" x14ac:dyDescent="0.25">
      <c r="A815">
        <v>5</v>
      </c>
      <c r="B815">
        <v>420</v>
      </c>
      <c r="C815" t="str">
        <f t="shared" si="223"/>
        <v>00</v>
      </c>
      <c r="D815">
        <v>2159</v>
      </c>
      <c r="E815" t="str">
        <f t="shared" si="221"/>
        <v>00</v>
      </c>
      <c r="F815" t="str">
        <f>"021"</f>
        <v>021</v>
      </c>
      <c r="G815">
        <v>5</v>
      </c>
      <c r="H815" t="str">
        <f t="shared" si="224"/>
        <v>00</v>
      </c>
      <c r="I815" t="str">
        <f t="shared" si="214"/>
        <v>0</v>
      </c>
      <c r="J815" t="str">
        <f t="shared" si="220"/>
        <v>00</v>
      </c>
      <c r="K815">
        <v>20141222</v>
      </c>
      <c r="L815" t="str">
        <f>"014677"</f>
        <v>014677</v>
      </c>
      <c r="M815" t="str">
        <f>"00291"</f>
        <v>00291</v>
      </c>
      <c r="N815" t="s">
        <v>291</v>
      </c>
      <c r="O815" s="1">
        <v>1250</v>
      </c>
      <c r="Q815" t="s">
        <v>33</v>
      </c>
      <c r="R815" t="s">
        <v>34</v>
      </c>
      <c r="S815" t="s">
        <v>35</v>
      </c>
      <c r="T815" t="s">
        <v>35</v>
      </c>
      <c r="U815" t="s">
        <v>34</v>
      </c>
      <c r="V815" t="str">
        <f>""</f>
        <v/>
      </c>
      <c r="W815">
        <v>20141222</v>
      </c>
      <c r="X815" t="s">
        <v>292</v>
      </c>
      <c r="Y815" t="s">
        <v>539</v>
      </c>
      <c r="Z815" t="s">
        <v>539</v>
      </c>
      <c r="AA815">
        <v>0</v>
      </c>
      <c r="AB815" t="s">
        <v>142</v>
      </c>
      <c r="AC815" t="s">
        <v>294</v>
      </c>
      <c r="AD815" t="s">
        <v>144</v>
      </c>
      <c r="AE815" t="str">
        <f t="shared" si="213"/>
        <v>12</v>
      </c>
      <c r="AF815" t="s">
        <v>40</v>
      </c>
    </row>
    <row r="816" spans="1:32" x14ac:dyDescent="0.25">
      <c r="A816">
        <v>5</v>
      </c>
      <c r="B816">
        <v>420</v>
      </c>
      <c r="C816" t="str">
        <f t="shared" si="223"/>
        <v>00</v>
      </c>
      <c r="D816">
        <v>2159</v>
      </c>
      <c r="E816" t="str">
        <f t="shared" si="221"/>
        <v>00</v>
      </c>
      <c r="F816" t="str">
        <f>"150"</f>
        <v>150</v>
      </c>
      <c r="G816">
        <v>5</v>
      </c>
      <c r="H816" t="str">
        <f t="shared" si="224"/>
        <v>00</v>
      </c>
      <c r="I816" t="str">
        <f t="shared" si="214"/>
        <v>0</v>
      </c>
      <c r="J816" t="str">
        <f t="shared" si="220"/>
        <v>00</v>
      </c>
      <c r="K816">
        <v>20141222</v>
      </c>
      <c r="L816" t="str">
        <f>"014678"</f>
        <v>014678</v>
      </c>
      <c r="M816" t="str">
        <f>"00355"</f>
        <v>00355</v>
      </c>
      <c r="N816" t="s">
        <v>295</v>
      </c>
      <c r="O816">
        <v>417.16</v>
      </c>
      <c r="Q816" t="s">
        <v>33</v>
      </c>
      <c r="R816" t="s">
        <v>34</v>
      </c>
      <c r="S816" t="s">
        <v>35</v>
      </c>
      <c r="T816" t="s">
        <v>35</v>
      </c>
      <c r="U816" t="s">
        <v>34</v>
      </c>
      <c r="V816" t="str">
        <f>""</f>
        <v/>
      </c>
      <c r="W816">
        <v>20141222</v>
      </c>
      <c r="X816" t="s">
        <v>296</v>
      </c>
      <c r="Y816" t="s">
        <v>539</v>
      </c>
      <c r="Z816" t="s">
        <v>539</v>
      </c>
      <c r="AA816">
        <v>0</v>
      </c>
      <c r="AB816" t="s">
        <v>142</v>
      </c>
      <c r="AC816" t="s">
        <v>297</v>
      </c>
      <c r="AD816" t="s">
        <v>144</v>
      </c>
      <c r="AE816" t="str">
        <f t="shared" si="213"/>
        <v>12</v>
      </c>
      <c r="AF816" t="s">
        <v>40</v>
      </c>
    </row>
    <row r="817" spans="1:32" x14ac:dyDescent="0.25">
      <c r="A817">
        <v>5</v>
      </c>
      <c r="B817">
        <v>420</v>
      </c>
      <c r="C817" t="str">
        <f t="shared" si="223"/>
        <v>00</v>
      </c>
      <c r="D817">
        <v>2159</v>
      </c>
      <c r="E817" t="str">
        <f t="shared" si="221"/>
        <v>00</v>
      </c>
      <c r="F817" t="str">
        <f>"154"</f>
        <v>154</v>
      </c>
      <c r="G817">
        <v>5</v>
      </c>
      <c r="H817" t="str">
        <f t="shared" si="224"/>
        <v>00</v>
      </c>
      <c r="I817" t="str">
        <f t="shared" si="214"/>
        <v>0</v>
      </c>
      <c r="J817" t="str">
        <f t="shared" si="220"/>
        <v>00</v>
      </c>
      <c r="K817">
        <v>20141222</v>
      </c>
      <c r="L817" t="str">
        <f>"014679"</f>
        <v>014679</v>
      </c>
      <c r="M817" t="str">
        <f>"00684"</f>
        <v>00684</v>
      </c>
      <c r="N817" t="s">
        <v>466</v>
      </c>
      <c r="O817">
        <v>680</v>
      </c>
      <c r="Q817" t="s">
        <v>33</v>
      </c>
      <c r="R817" t="s">
        <v>34</v>
      </c>
      <c r="S817" t="s">
        <v>35</v>
      </c>
      <c r="T817" t="s">
        <v>35</v>
      </c>
      <c r="U817" t="s">
        <v>34</v>
      </c>
      <c r="V817" t="str">
        <f>""</f>
        <v/>
      </c>
      <c r="W817">
        <v>20141222</v>
      </c>
      <c r="X817" t="s">
        <v>467</v>
      </c>
      <c r="Y817" t="s">
        <v>539</v>
      </c>
      <c r="Z817" t="s">
        <v>539</v>
      </c>
      <c r="AA817">
        <v>0</v>
      </c>
      <c r="AB817" t="s">
        <v>142</v>
      </c>
      <c r="AC817" t="s">
        <v>468</v>
      </c>
      <c r="AD817" t="s">
        <v>144</v>
      </c>
      <c r="AE817" t="str">
        <f t="shared" si="213"/>
        <v>12</v>
      </c>
      <c r="AF817" t="s">
        <v>40</v>
      </c>
    </row>
    <row r="818" spans="1:32" x14ac:dyDescent="0.25">
      <c r="A818">
        <v>5</v>
      </c>
      <c r="B818">
        <v>420</v>
      </c>
      <c r="C818" t="str">
        <f t="shared" si="223"/>
        <v>00</v>
      </c>
      <c r="D818">
        <v>2159</v>
      </c>
      <c r="E818" t="str">
        <f t="shared" si="221"/>
        <v>00</v>
      </c>
      <c r="F818" t="str">
        <f>"158"</f>
        <v>158</v>
      </c>
      <c r="G818">
        <v>5</v>
      </c>
      <c r="H818" t="str">
        <f t="shared" si="224"/>
        <v>00</v>
      </c>
      <c r="I818" t="str">
        <f t="shared" si="214"/>
        <v>0</v>
      </c>
      <c r="J818" t="str">
        <f t="shared" si="220"/>
        <v>00</v>
      </c>
      <c r="K818">
        <v>20141222</v>
      </c>
      <c r="L818" t="str">
        <f>"014680"</f>
        <v>014680</v>
      </c>
      <c r="M818" t="str">
        <f>"00773"</f>
        <v>00773</v>
      </c>
      <c r="N818" t="s">
        <v>298</v>
      </c>
      <c r="O818">
        <v>25</v>
      </c>
      <c r="Q818" t="s">
        <v>33</v>
      </c>
      <c r="R818" t="s">
        <v>34</v>
      </c>
      <c r="S818" t="s">
        <v>35</v>
      </c>
      <c r="T818" t="s">
        <v>35</v>
      </c>
      <c r="U818" t="s">
        <v>34</v>
      </c>
      <c r="V818" t="str">
        <f>""</f>
        <v/>
      </c>
      <c r="W818">
        <v>20141222</v>
      </c>
      <c r="X818" t="s">
        <v>299</v>
      </c>
      <c r="Y818" t="s">
        <v>539</v>
      </c>
      <c r="Z818" t="s">
        <v>539</v>
      </c>
      <c r="AA818">
        <v>0</v>
      </c>
      <c r="AB818" t="s">
        <v>142</v>
      </c>
      <c r="AC818" t="s">
        <v>298</v>
      </c>
      <c r="AD818" t="s">
        <v>144</v>
      </c>
      <c r="AE818" t="str">
        <f t="shared" si="213"/>
        <v>12</v>
      </c>
      <c r="AF818" t="s">
        <v>40</v>
      </c>
    </row>
    <row r="819" spans="1:32" x14ac:dyDescent="0.25">
      <c r="A819">
        <v>5</v>
      </c>
      <c r="B819">
        <v>420</v>
      </c>
      <c r="C819" t="str">
        <f t="shared" si="223"/>
        <v>00</v>
      </c>
      <c r="D819">
        <v>2159</v>
      </c>
      <c r="E819" t="str">
        <f t="shared" si="221"/>
        <v>00</v>
      </c>
      <c r="F819" t="str">
        <f>"164"</f>
        <v>164</v>
      </c>
      <c r="G819">
        <v>5</v>
      </c>
      <c r="H819" t="str">
        <f t="shared" si="224"/>
        <v>00</v>
      </c>
      <c r="I819" t="str">
        <f t="shared" si="214"/>
        <v>0</v>
      </c>
      <c r="J819" t="str">
        <f t="shared" si="220"/>
        <v>00</v>
      </c>
      <c r="K819">
        <v>20141222</v>
      </c>
      <c r="L819" t="str">
        <f>"014681"</f>
        <v>014681</v>
      </c>
      <c r="M819" t="str">
        <f>"00787"</f>
        <v>00787</v>
      </c>
      <c r="N819" t="s">
        <v>469</v>
      </c>
      <c r="O819">
        <v>225</v>
      </c>
      <c r="Q819" t="s">
        <v>33</v>
      </c>
      <c r="R819" t="s">
        <v>34</v>
      </c>
      <c r="S819" t="s">
        <v>35</v>
      </c>
      <c r="T819" t="s">
        <v>35</v>
      </c>
      <c r="U819" t="s">
        <v>34</v>
      </c>
      <c r="V819" t="str">
        <f>""</f>
        <v/>
      </c>
      <c r="W819">
        <v>20141222</v>
      </c>
      <c r="X819" t="s">
        <v>470</v>
      </c>
      <c r="Y819" t="s">
        <v>540</v>
      </c>
      <c r="Z819" t="s">
        <v>540</v>
      </c>
      <c r="AA819">
        <v>0</v>
      </c>
      <c r="AB819" t="s">
        <v>142</v>
      </c>
      <c r="AC819" t="s">
        <v>472</v>
      </c>
      <c r="AD819" t="s">
        <v>144</v>
      </c>
      <c r="AE819" t="str">
        <f t="shared" si="213"/>
        <v>12</v>
      </c>
      <c r="AF819" t="s">
        <v>40</v>
      </c>
    </row>
    <row r="820" spans="1:32" x14ac:dyDescent="0.25">
      <c r="A820">
        <v>5</v>
      </c>
      <c r="B820">
        <v>420</v>
      </c>
      <c r="C820" t="str">
        <f t="shared" si="223"/>
        <v>00</v>
      </c>
      <c r="D820">
        <v>2159</v>
      </c>
      <c r="E820" t="str">
        <f t="shared" si="221"/>
        <v>00</v>
      </c>
      <c r="F820" t="str">
        <f>"165"</f>
        <v>165</v>
      </c>
      <c r="G820">
        <v>5</v>
      </c>
      <c r="H820" t="str">
        <f t="shared" si="224"/>
        <v>00</v>
      </c>
      <c r="I820" t="str">
        <f t="shared" si="214"/>
        <v>0</v>
      </c>
      <c r="J820" t="str">
        <f t="shared" si="220"/>
        <v>00</v>
      </c>
      <c r="K820">
        <v>20141222</v>
      </c>
      <c r="L820" t="str">
        <f>"014682"</f>
        <v>014682</v>
      </c>
      <c r="M820" t="str">
        <f>"00794"</f>
        <v>00794</v>
      </c>
      <c r="N820" t="s">
        <v>613</v>
      </c>
      <c r="O820">
        <v>60</v>
      </c>
      <c r="Q820" t="s">
        <v>33</v>
      </c>
      <c r="R820" t="s">
        <v>34</v>
      </c>
      <c r="S820" t="s">
        <v>35</v>
      </c>
      <c r="T820" t="s">
        <v>35</v>
      </c>
      <c r="U820" t="s">
        <v>34</v>
      </c>
      <c r="V820" t="str">
        <f>""</f>
        <v/>
      </c>
      <c r="W820">
        <v>20141222</v>
      </c>
      <c r="X820" t="s">
        <v>614</v>
      </c>
      <c r="Y820" t="s">
        <v>539</v>
      </c>
      <c r="Z820" t="s">
        <v>539</v>
      </c>
      <c r="AA820">
        <v>0</v>
      </c>
      <c r="AB820" t="s">
        <v>142</v>
      </c>
      <c r="AC820" t="s">
        <v>613</v>
      </c>
      <c r="AD820" t="s">
        <v>144</v>
      </c>
      <c r="AE820" t="str">
        <f t="shared" si="213"/>
        <v>12</v>
      </c>
      <c r="AF820" t="s">
        <v>40</v>
      </c>
    </row>
    <row r="821" spans="1:32" x14ac:dyDescent="0.25">
      <c r="A821">
        <v>5</v>
      </c>
      <c r="B821">
        <v>420</v>
      </c>
      <c r="C821" t="str">
        <f>"51"</f>
        <v>51</v>
      </c>
      <c r="D821">
        <v>6259</v>
      </c>
      <c r="E821" t="str">
        <f>"54"</f>
        <v>54</v>
      </c>
      <c r="F821" t="str">
        <f>"999"</f>
        <v>999</v>
      </c>
      <c r="G821">
        <v>5</v>
      </c>
      <c r="H821" t="str">
        <f>"99"</f>
        <v>99</v>
      </c>
      <c r="I821" t="str">
        <f t="shared" si="214"/>
        <v>0</v>
      </c>
      <c r="J821" t="str">
        <f t="shared" si="220"/>
        <v>00</v>
      </c>
      <c r="K821">
        <v>20141231</v>
      </c>
      <c r="L821" t="str">
        <f>"014683"</f>
        <v>014683</v>
      </c>
      <c r="M821" t="str">
        <f>"00030"</f>
        <v>00030</v>
      </c>
      <c r="N821" t="s">
        <v>215</v>
      </c>
      <c r="O821">
        <v>282.47000000000003</v>
      </c>
      <c r="Q821" t="s">
        <v>33</v>
      </c>
      <c r="R821" t="s">
        <v>34</v>
      </c>
      <c r="S821" t="s">
        <v>35</v>
      </c>
      <c r="T821" t="s">
        <v>35</v>
      </c>
      <c r="U821" t="s">
        <v>34</v>
      </c>
      <c r="V821" t="str">
        <f>""</f>
        <v/>
      </c>
      <c r="W821">
        <v>20141231</v>
      </c>
      <c r="X821" t="s">
        <v>216</v>
      </c>
      <c r="Y821" t="s">
        <v>542</v>
      </c>
      <c r="Z821" t="s">
        <v>542</v>
      </c>
      <c r="AA821">
        <v>0</v>
      </c>
      <c r="AB821" t="s">
        <v>142</v>
      </c>
      <c r="AC821" t="s">
        <v>143</v>
      </c>
      <c r="AD821" t="s">
        <v>40</v>
      </c>
      <c r="AE821" t="str">
        <f t="shared" si="213"/>
        <v>12</v>
      </c>
      <c r="AF821" t="s">
        <v>40</v>
      </c>
    </row>
    <row r="822" spans="1:32" x14ac:dyDescent="0.25">
      <c r="A822">
        <v>5</v>
      </c>
      <c r="B822">
        <v>420</v>
      </c>
      <c r="C822" t="str">
        <f>"51"</f>
        <v>51</v>
      </c>
      <c r="D822">
        <v>6269</v>
      </c>
      <c r="E822" t="str">
        <f t="shared" ref="E822:E834" si="225">"00"</f>
        <v>00</v>
      </c>
      <c r="F822" t="str">
        <f>"999"</f>
        <v>999</v>
      </c>
      <c r="G822">
        <v>5</v>
      </c>
      <c r="H822" t="str">
        <f>"99"</f>
        <v>99</v>
      </c>
      <c r="I822" t="str">
        <f t="shared" si="214"/>
        <v>0</v>
      </c>
      <c r="J822" t="str">
        <f t="shared" si="220"/>
        <v>00</v>
      </c>
      <c r="K822">
        <v>20141231</v>
      </c>
      <c r="L822" t="str">
        <f>"014684"</f>
        <v>014684</v>
      </c>
      <c r="M822" t="str">
        <f>"00035"</f>
        <v>00035</v>
      </c>
      <c r="N822" t="s">
        <v>307</v>
      </c>
      <c r="O822">
        <v>301.52</v>
      </c>
      <c r="Q822" t="s">
        <v>33</v>
      </c>
      <c r="R822" t="s">
        <v>34</v>
      </c>
      <c r="S822" t="s">
        <v>35</v>
      </c>
      <c r="T822" t="s">
        <v>35</v>
      </c>
      <c r="U822" t="s">
        <v>34</v>
      </c>
      <c r="V822" t="str">
        <f>""</f>
        <v/>
      </c>
      <c r="W822">
        <v>20141231</v>
      </c>
      <c r="X822" t="s">
        <v>225</v>
      </c>
      <c r="Y822" t="s">
        <v>308</v>
      </c>
      <c r="Z822" t="s">
        <v>308</v>
      </c>
      <c r="AA822">
        <v>0</v>
      </c>
      <c r="AB822" t="s">
        <v>142</v>
      </c>
      <c r="AC822" t="s">
        <v>143</v>
      </c>
      <c r="AD822" t="s">
        <v>40</v>
      </c>
      <c r="AE822" t="str">
        <f t="shared" si="213"/>
        <v>12</v>
      </c>
      <c r="AF822" t="s">
        <v>40</v>
      </c>
    </row>
    <row r="823" spans="1:32" x14ac:dyDescent="0.25">
      <c r="A823">
        <v>5</v>
      </c>
      <c r="B823">
        <v>240</v>
      </c>
      <c r="C823" t="str">
        <f>"35"</f>
        <v>35</v>
      </c>
      <c r="D823">
        <v>6341</v>
      </c>
      <c r="E823" t="str">
        <f t="shared" si="225"/>
        <v>00</v>
      </c>
      <c r="F823" t="str">
        <f>"999"</f>
        <v>999</v>
      </c>
      <c r="G823">
        <v>5</v>
      </c>
      <c r="H823" t="str">
        <f>"99"</f>
        <v>99</v>
      </c>
      <c r="I823" t="str">
        <f t="shared" si="214"/>
        <v>0</v>
      </c>
      <c r="J823" t="str">
        <f t="shared" si="220"/>
        <v>00</v>
      </c>
      <c r="K823">
        <v>20141231</v>
      </c>
      <c r="L823" t="str">
        <f>"014685"</f>
        <v>014685</v>
      </c>
      <c r="M823" t="str">
        <f>"00048"</f>
        <v>00048</v>
      </c>
      <c r="N823" t="s">
        <v>309</v>
      </c>
      <c r="O823">
        <v>166.86</v>
      </c>
      <c r="Q823" t="s">
        <v>33</v>
      </c>
      <c r="R823" t="s">
        <v>34</v>
      </c>
      <c r="S823" t="s">
        <v>35</v>
      </c>
      <c r="T823" t="s">
        <v>35</v>
      </c>
      <c r="U823" t="s">
        <v>34</v>
      </c>
      <c r="V823" t="str">
        <f>""</f>
        <v/>
      </c>
      <c r="W823">
        <v>20141231</v>
      </c>
      <c r="X823" t="s">
        <v>268</v>
      </c>
      <c r="Y823" t="s">
        <v>544</v>
      </c>
      <c r="Z823" t="s">
        <v>544</v>
      </c>
      <c r="AA823">
        <v>0</v>
      </c>
      <c r="AB823" t="s">
        <v>238</v>
      </c>
      <c r="AC823" t="s">
        <v>143</v>
      </c>
      <c r="AD823" t="s">
        <v>40</v>
      </c>
      <c r="AE823" t="str">
        <f t="shared" si="213"/>
        <v>12</v>
      </c>
      <c r="AF823" t="s">
        <v>40</v>
      </c>
    </row>
    <row r="824" spans="1:32" x14ac:dyDescent="0.25">
      <c r="A824">
        <v>5</v>
      </c>
      <c r="B824">
        <v>420</v>
      </c>
      <c r="C824" t="str">
        <f>"36"</f>
        <v>36</v>
      </c>
      <c r="D824">
        <v>6412</v>
      </c>
      <c r="E824" t="str">
        <f t="shared" si="225"/>
        <v>00</v>
      </c>
      <c r="F824" t="str">
        <f>"001"</f>
        <v>001</v>
      </c>
      <c r="G824">
        <v>5</v>
      </c>
      <c r="H824" t="str">
        <f>"91"</f>
        <v>91</v>
      </c>
      <c r="I824" t="str">
        <f t="shared" si="214"/>
        <v>0</v>
      </c>
      <c r="J824" t="str">
        <f t="shared" si="220"/>
        <v>00</v>
      </c>
      <c r="K824">
        <v>20141231</v>
      </c>
      <c r="L824" t="str">
        <f>"014686"</f>
        <v>014686</v>
      </c>
      <c r="M824" t="str">
        <f>"00516"</f>
        <v>00516</v>
      </c>
      <c r="N824" t="s">
        <v>139</v>
      </c>
      <c r="O824">
        <v>215</v>
      </c>
      <c r="Q824" t="s">
        <v>33</v>
      </c>
      <c r="R824" t="s">
        <v>34</v>
      </c>
      <c r="S824" t="s">
        <v>35</v>
      </c>
      <c r="T824" t="s">
        <v>35</v>
      </c>
      <c r="U824" t="s">
        <v>34</v>
      </c>
      <c r="V824" t="str">
        <f>""</f>
        <v/>
      </c>
      <c r="W824">
        <v>20141231</v>
      </c>
      <c r="X824" t="s">
        <v>574</v>
      </c>
      <c r="Y824" t="s">
        <v>615</v>
      </c>
      <c r="Z824" t="s">
        <v>615</v>
      </c>
      <c r="AA824">
        <v>0</v>
      </c>
      <c r="AB824" t="s">
        <v>142</v>
      </c>
      <c r="AC824" t="s">
        <v>41</v>
      </c>
      <c r="AD824" t="s">
        <v>40</v>
      </c>
      <c r="AE824" t="str">
        <f t="shared" si="213"/>
        <v>12</v>
      </c>
      <c r="AF824" t="s">
        <v>40</v>
      </c>
    </row>
    <row r="825" spans="1:32" x14ac:dyDescent="0.25">
      <c r="A825">
        <v>5</v>
      </c>
      <c r="B825">
        <v>420</v>
      </c>
      <c r="C825" t="str">
        <f t="shared" ref="C825:C832" si="226">"51"</f>
        <v>51</v>
      </c>
      <c r="D825">
        <v>6219</v>
      </c>
      <c r="E825" t="str">
        <f t="shared" si="225"/>
        <v>00</v>
      </c>
      <c r="F825" t="str">
        <f t="shared" ref="F825:F832" si="227">"999"</f>
        <v>999</v>
      </c>
      <c r="G825">
        <v>5</v>
      </c>
      <c r="H825" t="str">
        <f t="shared" ref="H825:H833" si="228">"99"</f>
        <v>99</v>
      </c>
      <c r="I825" t="str">
        <f t="shared" si="214"/>
        <v>0</v>
      </c>
      <c r="J825" t="str">
        <f t="shared" si="220"/>
        <v>00</v>
      </c>
      <c r="K825">
        <v>20141231</v>
      </c>
      <c r="L825" t="str">
        <f>"014687"</f>
        <v>014687</v>
      </c>
      <c r="M825" t="str">
        <f>"00687"</f>
        <v>00687</v>
      </c>
      <c r="N825" t="s">
        <v>337</v>
      </c>
      <c r="O825">
        <v>105</v>
      </c>
      <c r="Q825" t="s">
        <v>33</v>
      </c>
      <c r="R825" t="s">
        <v>34</v>
      </c>
      <c r="S825" t="s">
        <v>35</v>
      </c>
      <c r="T825" t="s">
        <v>35</v>
      </c>
      <c r="U825" t="s">
        <v>34</v>
      </c>
      <c r="V825" t="str">
        <f>""</f>
        <v/>
      </c>
      <c r="W825">
        <v>20141231</v>
      </c>
      <c r="X825" t="s">
        <v>183</v>
      </c>
      <c r="Y825" t="s">
        <v>616</v>
      </c>
      <c r="Z825" t="s">
        <v>616</v>
      </c>
      <c r="AA825">
        <v>0</v>
      </c>
      <c r="AB825" t="s">
        <v>142</v>
      </c>
      <c r="AC825" t="s">
        <v>143</v>
      </c>
      <c r="AD825" t="s">
        <v>40</v>
      </c>
      <c r="AE825" t="str">
        <f t="shared" si="213"/>
        <v>12</v>
      </c>
      <c r="AF825" t="s">
        <v>40</v>
      </c>
    </row>
    <row r="826" spans="1:32" x14ac:dyDescent="0.25">
      <c r="A826">
        <v>5</v>
      </c>
      <c r="B826">
        <v>420</v>
      </c>
      <c r="C826" t="str">
        <f t="shared" si="226"/>
        <v>51</v>
      </c>
      <c r="D826">
        <v>6219</v>
      </c>
      <c r="E826" t="str">
        <f t="shared" si="225"/>
        <v>00</v>
      </c>
      <c r="F826" t="str">
        <f t="shared" si="227"/>
        <v>999</v>
      </c>
      <c r="G826">
        <v>5</v>
      </c>
      <c r="H826" t="str">
        <f t="shared" si="228"/>
        <v>99</v>
      </c>
      <c r="I826" t="str">
        <f t="shared" si="214"/>
        <v>0</v>
      </c>
      <c r="J826" t="str">
        <f t="shared" si="220"/>
        <v>00</v>
      </c>
      <c r="K826">
        <v>20141231</v>
      </c>
      <c r="L826" t="str">
        <f>"014687"</f>
        <v>014687</v>
      </c>
      <c r="M826" t="str">
        <f>"00687"</f>
        <v>00687</v>
      </c>
      <c r="N826" t="s">
        <v>337</v>
      </c>
      <c r="O826">
        <v>105</v>
      </c>
      <c r="Q826" t="s">
        <v>33</v>
      </c>
      <c r="R826" t="s">
        <v>34</v>
      </c>
      <c r="S826" t="s">
        <v>35</v>
      </c>
      <c r="T826" t="s">
        <v>35</v>
      </c>
      <c r="U826" t="s">
        <v>34</v>
      </c>
      <c r="V826" t="str">
        <f>""</f>
        <v/>
      </c>
      <c r="W826">
        <v>20141231</v>
      </c>
      <c r="X826" t="s">
        <v>183</v>
      </c>
      <c r="Y826" t="s">
        <v>616</v>
      </c>
      <c r="Z826" t="s">
        <v>616</v>
      </c>
      <c r="AA826">
        <v>0</v>
      </c>
      <c r="AB826" t="s">
        <v>142</v>
      </c>
      <c r="AC826" t="s">
        <v>143</v>
      </c>
      <c r="AD826" t="s">
        <v>40</v>
      </c>
      <c r="AE826" t="str">
        <f t="shared" si="213"/>
        <v>12</v>
      </c>
      <c r="AF826" t="s">
        <v>40</v>
      </c>
    </row>
    <row r="827" spans="1:32" x14ac:dyDescent="0.25">
      <c r="A827">
        <v>5</v>
      </c>
      <c r="B827">
        <v>420</v>
      </c>
      <c r="C827" t="str">
        <f t="shared" si="226"/>
        <v>51</v>
      </c>
      <c r="D827">
        <v>6219</v>
      </c>
      <c r="E827" t="str">
        <f t="shared" si="225"/>
        <v>00</v>
      </c>
      <c r="F827" t="str">
        <f t="shared" si="227"/>
        <v>999</v>
      </c>
      <c r="G827">
        <v>5</v>
      </c>
      <c r="H827" t="str">
        <f t="shared" si="228"/>
        <v>99</v>
      </c>
      <c r="I827" t="str">
        <f t="shared" si="214"/>
        <v>0</v>
      </c>
      <c r="J827" t="str">
        <f t="shared" si="220"/>
        <v>00</v>
      </c>
      <c r="K827">
        <v>20141231</v>
      </c>
      <c r="L827" t="str">
        <f>"014687"</f>
        <v>014687</v>
      </c>
      <c r="M827" t="str">
        <f>"00687"</f>
        <v>00687</v>
      </c>
      <c r="N827" t="s">
        <v>337</v>
      </c>
      <c r="O827">
        <v>105</v>
      </c>
      <c r="Q827" t="s">
        <v>33</v>
      </c>
      <c r="R827" t="s">
        <v>34</v>
      </c>
      <c r="S827" t="s">
        <v>35</v>
      </c>
      <c r="T827" t="s">
        <v>35</v>
      </c>
      <c r="U827" t="s">
        <v>34</v>
      </c>
      <c r="V827" t="str">
        <f>""</f>
        <v/>
      </c>
      <c r="W827">
        <v>20141231</v>
      </c>
      <c r="X827" t="s">
        <v>183</v>
      </c>
      <c r="Y827" t="s">
        <v>616</v>
      </c>
      <c r="Z827" t="s">
        <v>616</v>
      </c>
      <c r="AA827">
        <v>0</v>
      </c>
      <c r="AB827" t="s">
        <v>142</v>
      </c>
      <c r="AC827" t="s">
        <v>143</v>
      </c>
      <c r="AD827" t="s">
        <v>40</v>
      </c>
      <c r="AE827" t="str">
        <f t="shared" si="213"/>
        <v>12</v>
      </c>
      <c r="AF827" t="s">
        <v>40</v>
      </c>
    </row>
    <row r="828" spans="1:32" x14ac:dyDescent="0.25">
      <c r="A828">
        <v>5</v>
      </c>
      <c r="B828">
        <v>420</v>
      </c>
      <c r="C828" t="str">
        <f t="shared" si="226"/>
        <v>51</v>
      </c>
      <c r="D828">
        <v>6219</v>
      </c>
      <c r="E828" t="str">
        <f t="shared" si="225"/>
        <v>00</v>
      </c>
      <c r="F828" t="str">
        <f t="shared" si="227"/>
        <v>999</v>
      </c>
      <c r="G828">
        <v>5</v>
      </c>
      <c r="H828" t="str">
        <f t="shared" si="228"/>
        <v>99</v>
      </c>
      <c r="I828" t="str">
        <f t="shared" si="214"/>
        <v>0</v>
      </c>
      <c r="J828" t="str">
        <f t="shared" si="220"/>
        <v>00</v>
      </c>
      <c r="K828">
        <v>20141231</v>
      </c>
      <c r="L828" t="str">
        <f>"014687"</f>
        <v>014687</v>
      </c>
      <c r="M828" t="str">
        <f>"00687"</f>
        <v>00687</v>
      </c>
      <c r="N828" t="s">
        <v>337</v>
      </c>
      <c r="O828">
        <v>105</v>
      </c>
      <c r="Q828" t="s">
        <v>33</v>
      </c>
      <c r="R828" t="s">
        <v>34</v>
      </c>
      <c r="S828" t="s">
        <v>35</v>
      </c>
      <c r="T828" t="s">
        <v>35</v>
      </c>
      <c r="U828" t="s">
        <v>34</v>
      </c>
      <c r="V828" t="str">
        <f>""</f>
        <v/>
      </c>
      <c r="W828">
        <v>20141231</v>
      </c>
      <c r="X828" t="s">
        <v>183</v>
      </c>
      <c r="Y828" t="s">
        <v>616</v>
      </c>
      <c r="Z828" t="s">
        <v>616</v>
      </c>
      <c r="AA828">
        <v>0</v>
      </c>
      <c r="AB828" t="s">
        <v>142</v>
      </c>
      <c r="AC828" t="s">
        <v>143</v>
      </c>
      <c r="AD828" t="s">
        <v>40</v>
      </c>
      <c r="AE828" t="str">
        <f t="shared" si="213"/>
        <v>12</v>
      </c>
      <c r="AF828" t="s">
        <v>40</v>
      </c>
    </row>
    <row r="829" spans="1:32" x14ac:dyDescent="0.25">
      <c r="A829">
        <v>5</v>
      </c>
      <c r="B829">
        <v>420</v>
      </c>
      <c r="C829" t="str">
        <f t="shared" si="226"/>
        <v>51</v>
      </c>
      <c r="D829">
        <v>6219</v>
      </c>
      <c r="E829" t="str">
        <f t="shared" si="225"/>
        <v>00</v>
      </c>
      <c r="F829" t="str">
        <f t="shared" si="227"/>
        <v>999</v>
      </c>
      <c r="G829">
        <v>5</v>
      </c>
      <c r="H829" t="str">
        <f t="shared" si="228"/>
        <v>99</v>
      </c>
      <c r="I829" t="str">
        <f t="shared" si="214"/>
        <v>0</v>
      </c>
      <c r="J829" t="str">
        <f t="shared" si="220"/>
        <v>00</v>
      </c>
      <c r="K829">
        <v>20141231</v>
      </c>
      <c r="L829" t="str">
        <f>"014687"</f>
        <v>014687</v>
      </c>
      <c r="M829" t="str">
        <f>"00687"</f>
        <v>00687</v>
      </c>
      <c r="N829" t="s">
        <v>337</v>
      </c>
      <c r="O829">
        <v>120</v>
      </c>
      <c r="Q829" t="s">
        <v>33</v>
      </c>
      <c r="R829" t="s">
        <v>34</v>
      </c>
      <c r="S829" t="s">
        <v>35</v>
      </c>
      <c r="T829" t="s">
        <v>35</v>
      </c>
      <c r="U829" t="s">
        <v>34</v>
      </c>
      <c r="V829" t="str">
        <f>""</f>
        <v/>
      </c>
      <c r="W829">
        <v>20141231</v>
      </c>
      <c r="X829" t="s">
        <v>183</v>
      </c>
      <c r="Y829" t="s">
        <v>616</v>
      </c>
      <c r="Z829" t="s">
        <v>616</v>
      </c>
      <c r="AA829">
        <v>0</v>
      </c>
      <c r="AB829" t="s">
        <v>142</v>
      </c>
      <c r="AC829" t="s">
        <v>143</v>
      </c>
      <c r="AD829" t="s">
        <v>40</v>
      </c>
      <c r="AE829" t="str">
        <f t="shared" si="213"/>
        <v>12</v>
      </c>
      <c r="AF829" t="s">
        <v>40</v>
      </c>
    </row>
    <row r="830" spans="1:32" x14ac:dyDescent="0.25">
      <c r="A830">
        <v>5</v>
      </c>
      <c r="B830">
        <v>240</v>
      </c>
      <c r="C830" t="str">
        <f t="shared" si="226"/>
        <v>51</v>
      </c>
      <c r="D830">
        <v>6319</v>
      </c>
      <c r="E830" t="str">
        <f t="shared" si="225"/>
        <v>00</v>
      </c>
      <c r="F830" t="str">
        <f t="shared" si="227"/>
        <v>999</v>
      </c>
      <c r="G830">
        <v>5</v>
      </c>
      <c r="H830" t="str">
        <f t="shared" si="228"/>
        <v>99</v>
      </c>
      <c r="I830" t="str">
        <f t="shared" si="214"/>
        <v>0</v>
      </c>
      <c r="J830" t="str">
        <f t="shared" si="220"/>
        <v>00</v>
      </c>
      <c r="K830">
        <v>20141231</v>
      </c>
      <c r="L830" t="str">
        <f>"014688"</f>
        <v>014688</v>
      </c>
      <c r="M830" t="str">
        <f>"00671"</f>
        <v>00671</v>
      </c>
      <c r="N830" t="s">
        <v>605</v>
      </c>
      <c r="O830">
        <v>17.75</v>
      </c>
      <c r="Q830" t="s">
        <v>33</v>
      </c>
      <c r="R830" t="s">
        <v>34</v>
      </c>
      <c r="S830" t="s">
        <v>35</v>
      </c>
      <c r="T830" t="s">
        <v>35</v>
      </c>
      <c r="U830" t="s">
        <v>34</v>
      </c>
      <c r="V830" t="str">
        <f>""</f>
        <v/>
      </c>
      <c r="W830">
        <v>20141231</v>
      </c>
      <c r="X830" t="s">
        <v>350</v>
      </c>
      <c r="Y830" t="s">
        <v>617</v>
      </c>
      <c r="Z830" t="s">
        <v>617</v>
      </c>
      <c r="AA830">
        <v>0</v>
      </c>
      <c r="AB830" t="s">
        <v>238</v>
      </c>
      <c r="AC830" t="s">
        <v>143</v>
      </c>
      <c r="AD830" t="s">
        <v>40</v>
      </c>
      <c r="AE830" t="str">
        <f t="shared" si="213"/>
        <v>12</v>
      </c>
      <c r="AF830" t="s">
        <v>40</v>
      </c>
    </row>
    <row r="831" spans="1:32" x14ac:dyDescent="0.25">
      <c r="A831">
        <v>5</v>
      </c>
      <c r="B831">
        <v>240</v>
      </c>
      <c r="C831" t="str">
        <f t="shared" si="226"/>
        <v>51</v>
      </c>
      <c r="D831">
        <v>6319</v>
      </c>
      <c r="E831" t="str">
        <f t="shared" si="225"/>
        <v>00</v>
      </c>
      <c r="F831" t="str">
        <f t="shared" si="227"/>
        <v>999</v>
      </c>
      <c r="G831">
        <v>5</v>
      </c>
      <c r="H831" t="str">
        <f t="shared" si="228"/>
        <v>99</v>
      </c>
      <c r="I831" t="str">
        <f t="shared" si="214"/>
        <v>0</v>
      </c>
      <c r="J831" t="str">
        <f t="shared" si="220"/>
        <v>00</v>
      </c>
      <c r="K831">
        <v>20141231</v>
      </c>
      <c r="L831" t="str">
        <f>"014688"</f>
        <v>014688</v>
      </c>
      <c r="M831" t="str">
        <f>"00671"</f>
        <v>00671</v>
      </c>
      <c r="N831" t="s">
        <v>605</v>
      </c>
      <c r="O831">
        <v>160.35</v>
      </c>
      <c r="Q831" t="s">
        <v>33</v>
      </c>
      <c r="R831" t="s">
        <v>34</v>
      </c>
      <c r="S831" t="s">
        <v>35</v>
      </c>
      <c r="T831" t="s">
        <v>35</v>
      </c>
      <c r="U831" t="s">
        <v>34</v>
      </c>
      <c r="V831" t="str">
        <f>""</f>
        <v/>
      </c>
      <c r="W831">
        <v>20141231</v>
      </c>
      <c r="X831" t="s">
        <v>350</v>
      </c>
      <c r="Y831" t="s">
        <v>618</v>
      </c>
      <c r="Z831" t="s">
        <v>618</v>
      </c>
      <c r="AA831">
        <v>0</v>
      </c>
      <c r="AB831" t="s">
        <v>238</v>
      </c>
      <c r="AC831" t="s">
        <v>143</v>
      </c>
      <c r="AD831" t="s">
        <v>40</v>
      </c>
      <c r="AE831" t="str">
        <f t="shared" si="213"/>
        <v>12</v>
      </c>
      <c r="AF831" t="s">
        <v>40</v>
      </c>
    </row>
    <row r="832" spans="1:32" x14ac:dyDescent="0.25">
      <c r="A832">
        <v>5</v>
      </c>
      <c r="B832">
        <v>420</v>
      </c>
      <c r="C832" t="str">
        <f t="shared" si="226"/>
        <v>51</v>
      </c>
      <c r="D832">
        <v>6319</v>
      </c>
      <c r="E832" t="str">
        <f t="shared" si="225"/>
        <v>00</v>
      </c>
      <c r="F832" t="str">
        <f t="shared" si="227"/>
        <v>999</v>
      </c>
      <c r="G832">
        <v>5</v>
      </c>
      <c r="H832" t="str">
        <f t="shared" si="228"/>
        <v>99</v>
      </c>
      <c r="I832" t="str">
        <f t="shared" si="214"/>
        <v>0</v>
      </c>
      <c r="J832" t="str">
        <f t="shared" si="220"/>
        <v>00</v>
      </c>
      <c r="K832">
        <v>20141231</v>
      </c>
      <c r="L832" t="str">
        <f>"014688"</f>
        <v>014688</v>
      </c>
      <c r="M832" t="str">
        <f>"00671"</f>
        <v>00671</v>
      </c>
      <c r="N832" t="s">
        <v>605</v>
      </c>
      <c r="O832">
        <v>41.83</v>
      </c>
      <c r="Q832" t="s">
        <v>33</v>
      </c>
      <c r="R832" t="s">
        <v>34</v>
      </c>
      <c r="S832" t="s">
        <v>35</v>
      </c>
      <c r="T832" t="s">
        <v>35</v>
      </c>
      <c r="U832" t="s">
        <v>34</v>
      </c>
      <c r="V832" t="str">
        <f>""</f>
        <v/>
      </c>
      <c r="W832">
        <v>20141231</v>
      </c>
      <c r="X832" t="s">
        <v>185</v>
      </c>
      <c r="Y832" t="s">
        <v>617</v>
      </c>
      <c r="Z832" t="s">
        <v>617</v>
      </c>
      <c r="AA832">
        <v>0</v>
      </c>
      <c r="AB832" t="s">
        <v>142</v>
      </c>
      <c r="AC832" t="s">
        <v>143</v>
      </c>
      <c r="AD832" t="s">
        <v>40</v>
      </c>
      <c r="AE832" t="str">
        <f t="shared" ref="AE832:AE850" si="229">"12"</f>
        <v>12</v>
      </c>
      <c r="AF832" t="s">
        <v>40</v>
      </c>
    </row>
    <row r="833" spans="1:32" x14ac:dyDescent="0.25">
      <c r="A833">
        <v>5</v>
      </c>
      <c r="B833">
        <v>420</v>
      </c>
      <c r="C833" t="str">
        <f>"41"</f>
        <v>41</v>
      </c>
      <c r="D833">
        <v>6212</v>
      </c>
      <c r="E833" t="str">
        <f t="shared" si="225"/>
        <v>00</v>
      </c>
      <c r="F833" t="str">
        <f>"750"</f>
        <v>750</v>
      </c>
      <c r="G833">
        <v>5</v>
      </c>
      <c r="H833" t="str">
        <f t="shared" si="228"/>
        <v>99</v>
      </c>
      <c r="I833" t="str">
        <f t="shared" si="214"/>
        <v>0</v>
      </c>
      <c r="J833" t="str">
        <f t="shared" si="220"/>
        <v>00</v>
      </c>
      <c r="K833">
        <v>20141231</v>
      </c>
      <c r="L833" t="str">
        <f>"014689"</f>
        <v>014689</v>
      </c>
      <c r="M833" t="str">
        <f>"00598"</f>
        <v>00598</v>
      </c>
      <c r="N833" t="s">
        <v>619</v>
      </c>
      <c r="O833" s="1">
        <v>5327.59</v>
      </c>
      <c r="Q833" t="s">
        <v>33</v>
      </c>
      <c r="R833" t="s">
        <v>34</v>
      </c>
      <c r="S833" t="s">
        <v>35</v>
      </c>
      <c r="T833" t="s">
        <v>35</v>
      </c>
      <c r="U833" t="s">
        <v>34</v>
      </c>
      <c r="V833" t="str">
        <f>""</f>
        <v/>
      </c>
      <c r="W833">
        <v>20141231</v>
      </c>
      <c r="X833" t="s">
        <v>450</v>
      </c>
      <c r="Y833" t="s">
        <v>620</v>
      </c>
      <c r="Z833" t="s">
        <v>620</v>
      </c>
      <c r="AA833">
        <v>0</v>
      </c>
      <c r="AB833" t="s">
        <v>142</v>
      </c>
      <c r="AC833" t="s">
        <v>170</v>
      </c>
      <c r="AD833" t="s">
        <v>40</v>
      </c>
      <c r="AE833" t="str">
        <f t="shared" si="229"/>
        <v>12</v>
      </c>
      <c r="AF833" t="s">
        <v>40</v>
      </c>
    </row>
    <row r="834" spans="1:32" x14ac:dyDescent="0.25">
      <c r="A834">
        <v>5</v>
      </c>
      <c r="B834">
        <v>420</v>
      </c>
      <c r="C834" t="str">
        <f>"11"</f>
        <v>11</v>
      </c>
      <c r="D834">
        <v>6269</v>
      </c>
      <c r="E834" t="str">
        <f t="shared" si="225"/>
        <v>00</v>
      </c>
      <c r="F834" t="str">
        <f t="shared" ref="F834:F847" si="230">"999"</f>
        <v>999</v>
      </c>
      <c r="G834">
        <v>5</v>
      </c>
      <c r="H834" t="str">
        <f>"11"</f>
        <v>11</v>
      </c>
      <c r="I834" t="str">
        <f t="shared" ref="I834:I897" si="231">"0"</f>
        <v>0</v>
      </c>
      <c r="J834" t="str">
        <f t="shared" si="220"/>
        <v>00</v>
      </c>
      <c r="K834">
        <v>20141231</v>
      </c>
      <c r="L834" t="str">
        <f>"014690"</f>
        <v>014690</v>
      </c>
      <c r="M834" t="str">
        <f>"00622"</f>
        <v>00622</v>
      </c>
      <c r="N834" t="s">
        <v>318</v>
      </c>
      <c r="O834">
        <v>225.97</v>
      </c>
      <c r="Q834" t="s">
        <v>33</v>
      </c>
      <c r="R834" t="s">
        <v>34</v>
      </c>
      <c r="S834" t="s">
        <v>35</v>
      </c>
      <c r="T834" t="s">
        <v>35</v>
      </c>
      <c r="U834" t="s">
        <v>34</v>
      </c>
      <c r="V834" t="str">
        <f>""</f>
        <v/>
      </c>
      <c r="W834">
        <v>20141231</v>
      </c>
      <c r="X834" t="s">
        <v>213</v>
      </c>
      <c r="Y834" t="s">
        <v>319</v>
      </c>
      <c r="Z834" t="s">
        <v>319</v>
      </c>
      <c r="AA834">
        <v>0</v>
      </c>
      <c r="AB834" t="s">
        <v>142</v>
      </c>
      <c r="AC834" t="s">
        <v>143</v>
      </c>
      <c r="AD834" t="s">
        <v>40</v>
      </c>
      <c r="AE834" t="str">
        <f t="shared" si="229"/>
        <v>12</v>
      </c>
      <c r="AF834" t="s">
        <v>40</v>
      </c>
    </row>
    <row r="835" spans="1:32" x14ac:dyDescent="0.25">
      <c r="A835">
        <v>5</v>
      </c>
      <c r="B835">
        <v>420</v>
      </c>
      <c r="C835" t="str">
        <f>"51"</f>
        <v>51</v>
      </c>
      <c r="D835">
        <v>6259</v>
      </c>
      <c r="E835" t="str">
        <f>"53"</f>
        <v>53</v>
      </c>
      <c r="F835" t="str">
        <f t="shared" si="230"/>
        <v>999</v>
      </c>
      <c r="G835">
        <v>5</v>
      </c>
      <c r="H835" t="str">
        <f t="shared" ref="H835:H847" si="232">"99"</f>
        <v>99</v>
      </c>
      <c r="I835" t="str">
        <f t="shared" si="231"/>
        <v>0</v>
      </c>
      <c r="J835" t="str">
        <f t="shared" si="220"/>
        <v>00</v>
      </c>
      <c r="K835">
        <v>20141231</v>
      </c>
      <c r="L835" t="str">
        <f>"014691"</f>
        <v>014691</v>
      </c>
      <c r="M835" t="str">
        <f>"00726"</f>
        <v>00726</v>
      </c>
      <c r="N835" t="s">
        <v>227</v>
      </c>
      <c r="O835">
        <v>907.26</v>
      </c>
      <c r="Q835" t="s">
        <v>33</v>
      </c>
      <c r="R835" t="s">
        <v>34</v>
      </c>
      <c r="S835" t="s">
        <v>35</v>
      </c>
      <c r="T835" t="s">
        <v>35</v>
      </c>
      <c r="U835" t="s">
        <v>34</v>
      </c>
      <c r="V835" t="str">
        <f>""</f>
        <v/>
      </c>
      <c r="W835">
        <v>20141231</v>
      </c>
      <c r="X835" t="s">
        <v>228</v>
      </c>
      <c r="Y835" t="s">
        <v>621</v>
      </c>
      <c r="Z835" t="s">
        <v>621</v>
      </c>
      <c r="AA835">
        <v>0</v>
      </c>
      <c r="AB835" t="s">
        <v>142</v>
      </c>
      <c r="AC835" t="s">
        <v>143</v>
      </c>
      <c r="AD835" t="s">
        <v>40</v>
      </c>
      <c r="AE835" t="str">
        <f t="shared" si="229"/>
        <v>12</v>
      </c>
      <c r="AF835" t="s">
        <v>40</v>
      </c>
    </row>
    <row r="836" spans="1:32" x14ac:dyDescent="0.25">
      <c r="A836">
        <v>5</v>
      </c>
      <c r="B836">
        <v>420</v>
      </c>
      <c r="C836" t="str">
        <f>"51"</f>
        <v>51</v>
      </c>
      <c r="D836">
        <v>6259</v>
      </c>
      <c r="E836" t="str">
        <f>"53"</f>
        <v>53</v>
      </c>
      <c r="F836" t="str">
        <f t="shared" si="230"/>
        <v>999</v>
      </c>
      <c r="G836">
        <v>5</v>
      </c>
      <c r="H836" t="str">
        <f t="shared" si="232"/>
        <v>99</v>
      </c>
      <c r="I836" t="str">
        <f t="shared" si="231"/>
        <v>0</v>
      </c>
      <c r="J836" t="str">
        <f t="shared" si="220"/>
        <v>00</v>
      </c>
      <c r="K836">
        <v>20141231</v>
      </c>
      <c r="L836" t="str">
        <f>"014691"</f>
        <v>014691</v>
      </c>
      <c r="M836" t="str">
        <f>"00726"</f>
        <v>00726</v>
      </c>
      <c r="N836" t="s">
        <v>227</v>
      </c>
      <c r="O836">
        <v>645.75</v>
      </c>
      <c r="Q836" t="s">
        <v>33</v>
      </c>
      <c r="R836" t="s">
        <v>34</v>
      </c>
      <c r="S836" t="s">
        <v>35</v>
      </c>
      <c r="T836" t="s">
        <v>35</v>
      </c>
      <c r="U836" t="s">
        <v>34</v>
      </c>
      <c r="V836" t="str">
        <f>""</f>
        <v/>
      </c>
      <c r="W836">
        <v>20141231</v>
      </c>
      <c r="X836" t="s">
        <v>228</v>
      </c>
      <c r="Y836" t="s">
        <v>621</v>
      </c>
      <c r="Z836" t="s">
        <v>621</v>
      </c>
      <c r="AA836">
        <v>0</v>
      </c>
      <c r="AB836" t="s">
        <v>142</v>
      </c>
      <c r="AC836" t="s">
        <v>143</v>
      </c>
      <c r="AD836" t="s">
        <v>40</v>
      </c>
      <c r="AE836" t="str">
        <f t="shared" si="229"/>
        <v>12</v>
      </c>
      <c r="AF836" t="s">
        <v>40</v>
      </c>
    </row>
    <row r="837" spans="1:32" x14ac:dyDescent="0.25">
      <c r="A837">
        <v>5</v>
      </c>
      <c r="B837">
        <v>420</v>
      </c>
      <c r="C837" t="str">
        <f>"51"</f>
        <v>51</v>
      </c>
      <c r="D837">
        <v>6259</v>
      </c>
      <c r="E837" t="str">
        <f>"53"</f>
        <v>53</v>
      </c>
      <c r="F837" t="str">
        <f t="shared" si="230"/>
        <v>999</v>
      </c>
      <c r="G837">
        <v>5</v>
      </c>
      <c r="H837" t="str">
        <f t="shared" si="232"/>
        <v>99</v>
      </c>
      <c r="I837" t="str">
        <f t="shared" si="231"/>
        <v>0</v>
      </c>
      <c r="J837" t="str">
        <f t="shared" si="220"/>
        <v>00</v>
      </c>
      <c r="K837">
        <v>20141231</v>
      </c>
      <c r="L837" t="str">
        <f>"014691"</f>
        <v>014691</v>
      </c>
      <c r="M837" t="str">
        <f>"00726"</f>
        <v>00726</v>
      </c>
      <c r="N837" t="s">
        <v>227</v>
      </c>
      <c r="O837" s="1">
        <v>1868.15</v>
      </c>
      <c r="Q837" t="s">
        <v>33</v>
      </c>
      <c r="R837" t="s">
        <v>34</v>
      </c>
      <c r="S837" t="s">
        <v>35</v>
      </c>
      <c r="T837" t="s">
        <v>35</v>
      </c>
      <c r="U837" t="s">
        <v>34</v>
      </c>
      <c r="V837" t="str">
        <f>""</f>
        <v/>
      </c>
      <c r="W837">
        <v>20141231</v>
      </c>
      <c r="X837" t="s">
        <v>228</v>
      </c>
      <c r="Y837" t="s">
        <v>621</v>
      </c>
      <c r="Z837" t="s">
        <v>621</v>
      </c>
      <c r="AA837">
        <v>0</v>
      </c>
      <c r="AB837" t="s">
        <v>142</v>
      </c>
      <c r="AC837" t="s">
        <v>143</v>
      </c>
      <c r="AD837" t="s">
        <v>40</v>
      </c>
      <c r="AE837" t="str">
        <f t="shared" si="229"/>
        <v>12</v>
      </c>
      <c r="AF837" t="s">
        <v>40</v>
      </c>
    </row>
    <row r="838" spans="1:32" x14ac:dyDescent="0.25">
      <c r="A838">
        <v>5</v>
      </c>
      <c r="B838">
        <v>420</v>
      </c>
      <c r="C838" t="str">
        <f>"34"</f>
        <v>34</v>
      </c>
      <c r="D838">
        <v>6249</v>
      </c>
      <c r="E838" t="str">
        <f t="shared" ref="E838:E869" si="233">"00"</f>
        <v>00</v>
      </c>
      <c r="F838" t="str">
        <f t="shared" si="230"/>
        <v>999</v>
      </c>
      <c r="G838">
        <v>5</v>
      </c>
      <c r="H838" t="str">
        <f t="shared" si="232"/>
        <v>99</v>
      </c>
      <c r="I838" t="str">
        <f t="shared" si="231"/>
        <v>0</v>
      </c>
      <c r="J838" t="str">
        <f t="shared" si="220"/>
        <v>00</v>
      </c>
      <c r="K838">
        <v>20141231</v>
      </c>
      <c r="L838" t="str">
        <f>"014692"</f>
        <v>014692</v>
      </c>
      <c r="M838" t="str">
        <f>"00554"</f>
        <v>00554</v>
      </c>
      <c r="N838" t="s">
        <v>483</v>
      </c>
      <c r="O838">
        <v>71.69</v>
      </c>
      <c r="Q838" t="s">
        <v>33</v>
      </c>
      <c r="R838" t="s">
        <v>34</v>
      </c>
      <c r="S838" t="s">
        <v>35</v>
      </c>
      <c r="T838" t="s">
        <v>35</v>
      </c>
      <c r="U838" t="s">
        <v>34</v>
      </c>
      <c r="V838" t="str">
        <f>""</f>
        <v/>
      </c>
      <c r="W838">
        <v>20141231</v>
      </c>
      <c r="X838" t="s">
        <v>484</v>
      </c>
      <c r="Y838" t="s">
        <v>622</v>
      </c>
      <c r="Z838" t="s">
        <v>622</v>
      </c>
      <c r="AA838">
        <v>0</v>
      </c>
      <c r="AB838" t="s">
        <v>142</v>
      </c>
      <c r="AC838" t="s">
        <v>143</v>
      </c>
      <c r="AD838" t="s">
        <v>40</v>
      </c>
      <c r="AE838" t="str">
        <f t="shared" si="229"/>
        <v>12</v>
      </c>
      <c r="AF838" t="s">
        <v>40</v>
      </c>
    </row>
    <row r="839" spans="1:32" x14ac:dyDescent="0.25">
      <c r="A839">
        <v>5</v>
      </c>
      <c r="B839">
        <v>420</v>
      </c>
      <c r="C839" t="str">
        <f>"34"</f>
        <v>34</v>
      </c>
      <c r="D839">
        <v>6249</v>
      </c>
      <c r="E839" t="str">
        <f t="shared" si="233"/>
        <v>00</v>
      </c>
      <c r="F839" t="str">
        <f t="shared" si="230"/>
        <v>999</v>
      </c>
      <c r="G839">
        <v>5</v>
      </c>
      <c r="H839" t="str">
        <f t="shared" si="232"/>
        <v>99</v>
      </c>
      <c r="I839" t="str">
        <f t="shared" si="231"/>
        <v>0</v>
      </c>
      <c r="J839" t="str">
        <f t="shared" si="220"/>
        <v>00</v>
      </c>
      <c r="K839">
        <v>20141231</v>
      </c>
      <c r="L839" t="str">
        <f>"014692"</f>
        <v>014692</v>
      </c>
      <c r="M839" t="str">
        <f>"00554"</f>
        <v>00554</v>
      </c>
      <c r="N839" t="s">
        <v>483</v>
      </c>
      <c r="O839">
        <v>101.83</v>
      </c>
      <c r="Q839" t="s">
        <v>33</v>
      </c>
      <c r="R839" t="s">
        <v>34</v>
      </c>
      <c r="S839" t="s">
        <v>35</v>
      </c>
      <c r="T839" t="s">
        <v>35</v>
      </c>
      <c r="U839" t="s">
        <v>34</v>
      </c>
      <c r="V839" t="str">
        <f>""</f>
        <v/>
      </c>
      <c r="W839">
        <v>20141231</v>
      </c>
      <c r="X839" t="s">
        <v>484</v>
      </c>
      <c r="Y839" t="s">
        <v>622</v>
      </c>
      <c r="Z839" t="s">
        <v>622</v>
      </c>
      <c r="AA839">
        <v>0</v>
      </c>
      <c r="AB839" t="s">
        <v>142</v>
      </c>
      <c r="AC839" t="s">
        <v>143</v>
      </c>
      <c r="AD839" t="s">
        <v>40</v>
      </c>
      <c r="AE839" t="str">
        <f t="shared" si="229"/>
        <v>12</v>
      </c>
      <c r="AF839" t="s">
        <v>40</v>
      </c>
    </row>
    <row r="840" spans="1:32" x14ac:dyDescent="0.25">
      <c r="A840">
        <v>5</v>
      </c>
      <c r="B840">
        <v>240</v>
      </c>
      <c r="C840" t="str">
        <f t="shared" ref="C840:C847" si="234">"35"</f>
        <v>35</v>
      </c>
      <c r="D840">
        <v>6341</v>
      </c>
      <c r="E840" t="str">
        <f t="shared" si="233"/>
        <v>00</v>
      </c>
      <c r="F840" t="str">
        <f t="shared" si="230"/>
        <v>999</v>
      </c>
      <c r="G840">
        <v>5</v>
      </c>
      <c r="H840" t="str">
        <f t="shared" si="232"/>
        <v>99</v>
      </c>
      <c r="I840" t="str">
        <f t="shared" si="231"/>
        <v>0</v>
      </c>
      <c r="J840" t="str">
        <f t="shared" si="220"/>
        <v>00</v>
      </c>
      <c r="K840">
        <v>20141231</v>
      </c>
      <c r="L840" t="str">
        <f t="shared" ref="L840:L846" si="235">"014693"</f>
        <v>014693</v>
      </c>
      <c r="M840" t="str">
        <f t="shared" ref="M840:M846" si="236">"00391"</f>
        <v>00391</v>
      </c>
      <c r="N840" t="s">
        <v>265</v>
      </c>
      <c r="O840">
        <v>192.61</v>
      </c>
      <c r="Q840" t="s">
        <v>33</v>
      </c>
      <c r="R840" t="s">
        <v>34</v>
      </c>
      <c r="S840" t="s">
        <v>35</v>
      </c>
      <c r="T840" t="s">
        <v>35</v>
      </c>
      <c r="U840" t="s">
        <v>34</v>
      </c>
      <c r="V840" t="str">
        <f>""</f>
        <v/>
      </c>
      <c r="W840">
        <v>20141231</v>
      </c>
      <c r="X840" t="s">
        <v>268</v>
      </c>
      <c r="Y840" t="s">
        <v>557</v>
      </c>
      <c r="Z840" t="s">
        <v>557</v>
      </c>
      <c r="AA840">
        <v>0</v>
      </c>
      <c r="AB840" t="s">
        <v>238</v>
      </c>
      <c r="AC840" t="s">
        <v>143</v>
      </c>
      <c r="AD840" t="s">
        <v>40</v>
      </c>
      <c r="AE840" t="str">
        <f t="shared" si="229"/>
        <v>12</v>
      </c>
      <c r="AF840" t="s">
        <v>40</v>
      </c>
    </row>
    <row r="841" spans="1:32" x14ac:dyDescent="0.25">
      <c r="A841">
        <v>5</v>
      </c>
      <c r="B841">
        <v>240</v>
      </c>
      <c r="C841" t="str">
        <f t="shared" si="234"/>
        <v>35</v>
      </c>
      <c r="D841">
        <v>6341</v>
      </c>
      <c r="E841" t="str">
        <f t="shared" si="233"/>
        <v>00</v>
      </c>
      <c r="F841" t="str">
        <f t="shared" si="230"/>
        <v>999</v>
      </c>
      <c r="G841">
        <v>5</v>
      </c>
      <c r="H841" t="str">
        <f t="shared" si="232"/>
        <v>99</v>
      </c>
      <c r="I841" t="str">
        <f t="shared" si="231"/>
        <v>0</v>
      </c>
      <c r="J841" t="str">
        <f t="shared" si="220"/>
        <v>00</v>
      </c>
      <c r="K841">
        <v>20141231</v>
      </c>
      <c r="L841" t="str">
        <f t="shared" si="235"/>
        <v>014693</v>
      </c>
      <c r="M841" t="str">
        <f t="shared" si="236"/>
        <v>00391</v>
      </c>
      <c r="N841" t="s">
        <v>265</v>
      </c>
      <c r="O841">
        <v>143.4</v>
      </c>
      <c r="Q841" t="s">
        <v>33</v>
      </c>
      <c r="R841" t="s">
        <v>34</v>
      </c>
      <c r="S841" t="s">
        <v>35</v>
      </c>
      <c r="T841" t="s">
        <v>35</v>
      </c>
      <c r="U841" t="s">
        <v>34</v>
      </c>
      <c r="V841" t="str">
        <f>""</f>
        <v/>
      </c>
      <c r="W841">
        <v>20141231</v>
      </c>
      <c r="X841" t="s">
        <v>268</v>
      </c>
      <c r="Y841" t="s">
        <v>557</v>
      </c>
      <c r="Z841" t="s">
        <v>557</v>
      </c>
      <c r="AA841">
        <v>0</v>
      </c>
      <c r="AB841" t="s">
        <v>238</v>
      </c>
      <c r="AC841" t="s">
        <v>143</v>
      </c>
      <c r="AD841" t="s">
        <v>40</v>
      </c>
      <c r="AE841" t="str">
        <f t="shared" si="229"/>
        <v>12</v>
      </c>
      <c r="AF841" t="s">
        <v>40</v>
      </c>
    </row>
    <row r="842" spans="1:32" x14ac:dyDescent="0.25">
      <c r="A842">
        <v>5</v>
      </c>
      <c r="B842">
        <v>240</v>
      </c>
      <c r="C842" t="str">
        <f t="shared" si="234"/>
        <v>35</v>
      </c>
      <c r="D842">
        <v>6341</v>
      </c>
      <c r="E842" t="str">
        <f t="shared" si="233"/>
        <v>00</v>
      </c>
      <c r="F842" t="str">
        <f t="shared" si="230"/>
        <v>999</v>
      </c>
      <c r="G842">
        <v>5</v>
      </c>
      <c r="H842" t="str">
        <f t="shared" si="232"/>
        <v>99</v>
      </c>
      <c r="I842" t="str">
        <f t="shared" si="231"/>
        <v>0</v>
      </c>
      <c r="J842" t="str">
        <f t="shared" si="220"/>
        <v>00</v>
      </c>
      <c r="K842">
        <v>20141231</v>
      </c>
      <c r="L842" t="str">
        <f t="shared" si="235"/>
        <v>014693</v>
      </c>
      <c r="M842" t="str">
        <f t="shared" si="236"/>
        <v>00391</v>
      </c>
      <c r="N842" t="s">
        <v>265</v>
      </c>
      <c r="O842">
        <v>276.25</v>
      </c>
      <c r="Q842" t="s">
        <v>33</v>
      </c>
      <c r="R842" t="s">
        <v>34</v>
      </c>
      <c r="S842" t="s">
        <v>35</v>
      </c>
      <c r="T842" t="s">
        <v>35</v>
      </c>
      <c r="U842" t="s">
        <v>34</v>
      </c>
      <c r="V842" t="str">
        <f>""</f>
        <v/>
      </c>
      <c r="W842">
        <v>20141231</v>
      </c>
      <c r="X842" t="s">
        <v>268</v>
      </c>
      <c r="Y842" t="s">
        <v>557</v>
      </c>
      <c r="Z842" t="s">
        <v>557</v>
      </c>
      <c r="AA842">
        <v>0</v>
      </c>
      <c r="AB842" t="s">
        <v>238</v>
      </c>
      <c r="AC842" t="s">
        <v>143</v>
      </c>
      <c r="AD842" t="s">
        <v>40</v>
      </c>
      <c r="AE842" t="str">
        <f t="shared" si="229"/>
        <v>12</v>
      </c>
      <c r="AF842" t="s">
        <v>40</v>
      </c>
    </row>
    <row r="843" spans="1:32" x14ac:dyDescent="0.25">
      <c r="A843">
        <v>5</v>
      </c>
      <c r="B843">
        <v>240</v>
      </c>
      <c r="C843" t="str">
        <f t="shared" si="234"/>
        <v>35</v>
      </c>
      <c r="D843">
        <v>6341</v>
      </c>
      <c r="E843" t="str">
        <f t="shared" si="233"/>
        <v>00</v>
      </c>
      <c r="F843" t="str">
        <f t="shared" si="230"/>
        <v>999</v>
      </c>
      <c r="G843">
        <v>5</v>
      </c>
      <c r="H843" t="str">
        <f t="shared" si="232"/>
        <v>99</v>
      </c>
      <c r="I843" t="str">
        <f t="shared" si="231"/>
        <v>0</v>
      </c>
      <c r="J843" t="str">
        <f t="shared" si="220"/>
        <v>00</v>
      </c>
      <c r="K843">
        <v>20141231</v>
      </c>
      <c r="L843" t="str">
        <f t="shared" si="235"/>
        <v>014693</v>
      </c>
      <c r="M843" t="str">
        <f t="shared" si="236"/>
        <v>00391</v>
      </c>
      <c r="N843" t="s">
        <v>265</v>
      </c>
      <c r="O843" s="1">
        <v>1809.34</v>
      </c>
      <c r="Q843" t="s">
        <v>33</v>
      </c>
      <c r="R843" t="s">
        <v>34</v>
      </c>
      <c r="S843" t="s">
        <v>35</v>
      </c>
      <c r="T843" t="s">
        <v>35</v>
      </c>
      <c r="U843" t="s">
        <v>34</v>
      </c>
      <c r="V843" t="str">
        <f>""</f>
        <v/>
      </c>
      <c r="W843">
        <v>20141231</v>
      </c>
      <c r="X843" t="s">
        <v>268</v>
      </c>
      <c r="Y843" t="s">
        <v>557</v>
      </c>
      <c r="Z843" t="s">
        <v>557</v>
      </c>
      <c r="AA843">
        <v>0</v>
      </c>
      <c r="AB843" t="s">
        <v>238</v>
      </c>
      <c r="AC843" t="s">
        <v>143</v>
      </c>
      <c r="AD843" t="s">
        <v>40</v>
      </c>
      <c r="AE843" t="str">
        <f t="shared" si="229"/>
        <v>12</v>
      </c>
      <c r="AF843" t="s">
        <v>40</v>
      </c>
    </row>
    <row r="844" spans="1:32" x14ac:dyDescent="0.25">
      <c r="A844">
        <v>5</v>
      </c>
      <c r="B844">
        <v>240</v>
      </c>
      <c r="C844" t="str">
        <f t="shared" si="234"/>
        <v>35</v>
      </c>
      <c r="D844">
        <v>6341</v>
      </c>
      <c r="E844" t="str">
        <f t="shared" si="233"/>
        <v>00</v>
      </c>
      <c r="F844" t="str">
        <f t="shared" si="230"/>
        <v>999</v>
      </c>
      <c r="G844">
        <v>5</v>
      </c>
      <c r="H844" t="str">
        <f t="shared" si="232"/>
        <v>99</v>
      </c>
      <c r="I844" t="str">
        <f t="shared" si="231"/>
        <v>0</v>
      </c>
      <c r="J844" t="str">
        <f t="shared" si="220"/>
        <v>00</v>
      </c>
      <c r="K844">
        <v>20141231</v>
      </c>
      <c r="L844" t="str">
        <f t="shared" si="235"/>
        <v>014693</v>
      </c>
      <c r="M844" t="str">
        <f t="shared" si="236"/>
        <v>00391</v>
      </c>
      <c r="N844" t="s">
        <v>265</v>
      </c>
      <c r="O844" s="1">
        <v>2205.02</v>
      </c>
      <c r="Q844" t="s">
        <v>33</v>
      </c>
      <c r="R844" t="s">
        <v>34</v>
      </c>
      <c r="S844" t="s">
        <v>35</v>
      </c>
      <c r="T844" t="s">
        <v>35</v>
      </c>
      <c r="U844" t="s">
        <v>34</v>
      </c>
      <c r="V844" t="str">
        <f>""</f>
        <v/>
      </c>
      <c r="W844">
        <v>20141231</v>
      </c>
      <c r="X844" t="s">
        <v>268</v>
      </c>
      <c r="Y844" t="s">
        <v>557</v>
      </c>
      <c r="Z844" t="s">
        <v>557</v>
      </c>
      <c r="AA844">
        <v>0</v>
      </c>
      <c r="AB844" t="s">
        <v>238</v>
      </c>
      <c r="AC844" t="s">
        <v>143</v>
      </c>
      <c r="AD844" t="s">
        <v>40</v>
      </c>
      <c r="AE844" t="str">
        <f t="shared" si="229"/>
        <v>12</v>
      </c>
      <c r="AF844" t="s">
        <v>40</v>
      </c>
    </row>
    <row r="845" spans="1:32" x14ac:dyDescent="0.25">
      <c r="A845">
        <v>5</v>
      </c>
      <c r="B845">
        <v>240</v>
      </c>
      <c r="C845" t="str">
        <f t="shared" si="234"/>
        <v>35</v>
      </c>
      <c r="D845">
        <v>6342</v>
      </c>
      <c r="E845" t="str">
        <f t="shared" si="233"/>
        <v>00</v>
      </c>
      <c r="F845" t="str">
        <f t="shared" si="230"/>
        <v>999</v>
      </c>
      <c r="G845">
        <v>5</v>
      </c>
      <c r="H845" t="str">
        <f t="shared" si="232"/>
        <v>99</v>
      </c>
      <c r="I845" t="str">
        <f t="shared" si="231"/>
        <v>0</v>
      </c>
      <c r="J845" t="str">
        <f t="shared" si="220"/>
        <v>00</v>
      </c>
      <c r="K845">
        <v>20141231</v>
      </c>
      <c r="L845" t="str">
        <f t="shared" si="235"/>
        <v>014693</v>
      </c>
      <c r="M845" t="str">
        <f t="shared" si="236"/>
        <v>00391</v>
      </c>
      <c r="N845" t="s">
        <v>265</v>
      </c>
      <c r="O845">
        <v>169.92</v>
      </c>
      <c r="Q845" t="s">
        <v>33</v>
      </c>
      <c r="R845" t="s">
        <v>34</v>
      </c>
      <c r="S845" t="s">
        <v>35</v>
      </c>
      <c r="T845" t="s">
        <v>35</v>
      </c>
      <c r="U845" t="s">
        <v>34</v>
      </c>
      <c r="V845" t="str">
        <f>""</f>
        <v/>
      </c>
      <c r="W845">
        <v>20141231</v>
      </c>
      <c r="X845" t="s">
        <v>269</v>
      </c>
      <c r="Y845" t="s">
        <v>557</v>
      </c>
      <c r="Z845" t="s">
        <v>557</v>
      </c>
      <c r="AA845">
        <v>0</v>
      </c>
      <c r="AB845" t="s">
        <v>238</v>
      </c>
      <c r="AC845" t="s">
        <v>143</v>
      </c>
      <c r="AD845" t="s">
        <v>40</v>
      </c>
      <c r="AE845" t="str">
        <f t="shared" si="229"/>
        <v>12</v>
      </c>
      <c r="AF845" t="s">
        <v>40</v>
      </c>
    </row>
    <row r="846" spans="1:32" x14ac:dyDescent="0.25">
      <c r="A846">
        <v>5</v>
      </c>
      <c r="B846">
        <v>240</v>
      </c>
      <c r="C846" t="str">
        <f t="shared" si="234"/>
        <v>35</v>
      </c>
      <c r="D846">
        <v>6342</v>
      </c>
      <c r="E846" t="str">
        <f t="shared" si="233"/>
        <v>00</v>
      </c>
      <c r="F846" t="str">
        <f t="shared" si="230"/>
        <v>999</v>
      </c>
      <c r="G846">
        <v>5</v>
      </c>
      <c r="H846" t="str">
        <f t="shared" si="232"/>
        <v>99</v>
      </c>
      <c r="I846" t="str">
        <f t="shared" si="231"/>
        <v>0</v>
      </c>
      <c r="J846" t="str">
        <f t="shared" si="220"/>
        <v>00</v>
      </c>
      <c r="K846">
        <v>20141231</v>
      </c>
      <c r="L846" t="str">
        <f t="shared" si="235"/>
        <v>014693</v>
      </c>
      <c r="M846" t="str">
        <f t="shared" si="236"/>
        <v>00391</v>
      </c>
      <c r="N846" t="s">
        <v>265</v>
      </c>
      <c r="O846">
        <v>159.16999999999999</v>
      </c>
      <c r="Q846" t="s">
        <v>33</v>
      </c>
      <c r="R846" t="s">
        <v>34</v>
      </c>
      <c r="S846" t="s">
        <v>35</v>
      </c>
      <c r="T846" t="s">
        <v>35</v>
      </c>
      <c r="U846" t="s">
        <v>34</v>
      </c>
      <c r="V846" t="str">
        <f>""</f>
        <v/>
      </c>
      <c r="W846">
        <v>20141231</v>
      </c>
      <c r="X846" t="s">
        <v>269</v>
      </c>
      <c r="Y846" t="s">
        <v>557</v>
      </c>
      <c r="Z846" t="s">
        <v>557</v>
      </c>
      <c r="AA846">
        <v>0</v>
      </c>
      <c r="AB846" t="s">
        <v>238</v>
      </c>
      <c r="AC846" t="s">
        <v>143</v>
      </c>
      <c r="AD846" t="s">
        <v>40</v>
      </c>
      <c r="AE846" t="str">
        <f t="shared" si="229"/>
        <v>12</v>
      </c>
      <c r="AF846" t="s">
        <v>40</v>
      </c>
    </row>
    <row r="847" spans="1:32" x14ac:dyDescent="0.25">
      <c r="A847">
        <v>5</v>
      </c>
      <c r="B847">
        <v>240</v>
      </c>
      <c r="C847" t="str">
        <f t="shared" si="234"/>
        <v>35</v>
      </c>
      <c r="D847">
        <v>6299</v>
      </c>
      <c r="E847" t="str">
        <f t="shared" si="233"/>
        <v>00</v>
      </c>
      <c r="F847" t="str">
        <f t="shared" si="230"/>
        <v>999</v>
      </c>
      <c r="G847">
        <v>5</v>
      </c>
      <c r="H847" t="str">
        <f t="shared" si="232"/>
        <v>99</v>
      </c>
      <c r="I847" t="str">
        <f t="shared" si="231"/>
        <v>0</v>
      </c>
      <c r="J847" t="str">
        <f t="shared" si="220"/>
        <v>00</v>
      </c>
      <c r="K847">
        <v>20141231</v>
      </c>
      <c r="L847" t="str">
        <f>"014694"</f>
        <v>014694</v>
      </c>
      <c r="M847" t="str">
        <f>"00577"</f>
        <v>00577</v>
      </c>
      <c r="N847" t="s">
        <v>251</v>
      </c>
      <c r="O847">
        <v>39.04</v>
      </c>
      <c r="Q847" t="s">
        <v>33</v>
      </c>
      <c r="R847" t="s">
        <v>34</v>
      </c>
      <c r="S847" t="s">
        <v>35</v>
      </c>
      <c r="T847" t="s">
        <v>35</v>
      </c>
      <c r="U847" t="s">
        <v>34</v>
      </c>
      <c r="V847" t="str">
        <f>""</f>
        <v/>
      </c>
      <c r="W847">
        <v>20141231</v>
      </c>
      <c r="X847" t="s">
        <v>252</v>
      </c>
      <c r="Y847" t="s">
        <v>253</v>
      </c>
      <c r="Z847" t="s">
        <v>253</v>
      </c>
      <c r="AA847">
        <v>0</v>
      </c>
      <c r="AB847" t="s">
        <v>238</v>
      </c>
      <c r="AC847" t="s">
        <v>143</v>
      </c>
      <c r="AD847" t="s">
        <v>40</v>
      </c>
      <c r="AE847" t="str">
        <f t="shared" si="229"/>
        <v>12</v>
      </c>
      <c r="AF847" t="s">
        <v>40</v>
      </c>
    </row>
    <row r="848" spans="1:32" x14ac:dyDescent="0.25">
      <c r="A848">
        <v>5</v>
      </c>
      <c r="B848">
        <v>211</v>
      </c>
      <c r="C848" t="str">
        <f>"11"</f>
        <v>11</v>
      </c>
      <c r="D848">
        <v>6399</v>
      </c>
      <c r="E848" t="str">
        <f t="shared" si="233"/>
        <v>00</v>
      </c>
      <c r="F848" t="str">
        <f>"001"</f>
        <v>001</v>
      </c>
      <c r="G848">
        <v>5</v>
      </c>
      <c r="H848" t="str">
        <f>"30"</f>
        <v>30</v>
      </c>
      <c r="I848" t="str">
        <f t="shared" si="231"/>
        <v>0</v>
      </c>
      <c r="J848" t="str">
        <f t="shared" si="220"/>
        <v>00</v>
      </c>
      <c r="K848">
        <v>20141231</v>
      </c>
      <c r="L848" t="str">
        <f>"014695"</f>
        <v>014695</v>
      </c>
      <c r="M848" t="str">
        <f>"00548"</f>
        <v>00548</v>
      </c>
      <c r="N848" t="s">
        <v>167</v>
      </c>
      <c r="O848">
        <v>42.95</v>
      </c>
      <c r="Q848" t="s">
        <v>33</v>
      </c>
      <c r="R848" t="s">
        <v>34</v>
      </c>
      <c r="S848" t="s">
        <v>35</v>
      </c>
      <c r="T848" t="s">
        <v>35</v>
      </c>
      <c r="U848" t="s">
        <v>34</v>
      </c>
      <c r="V848" t="str">
        <f>""</f>
        <v/>
      </c>
      <c r="W848">
        <v>20141231</v>
      </c>
      <c r="X848" t="s">
        <v>623</v>
      </c>
      <c r="Y848" t="s">
        <v>624</v>
      </c>
      <c r="Z848" t="s">
        <v>624</v>
      </c>
      <c r="AA848">
        <v>0</v>
      </c>
      <c r="AB848" t="s">
        <v>174</v>
      </c>
      <c r="AC848" t="s">
        <v>41</v>
      </c>
      <c r="AD848" t="s">
        <v>40</v>
      </c>
      <c r="AE848" t="str">
        <f t="shared" si="229"/>
        <v>12</v>
      </c>
      <c r="AF848" t="s">
        <v>40</v>
      </c>
    </row>
    <row r="849" spans="1:32" x14ac:dyDescent="0.25">
      <c r="A849">
        <v>5</v>
      </c>
      <c r="B849">
        <v>244</v>
      </c>
      <c r="C849" t="str">
        <f>"11"</f>
        <v>11</v>
      </c>
      <c r="D849">
        <v>6399</v>
      </c>
      <c r="E849" t="str">
        <f t="shared" si="233"/>
        <v>00</v>
      </c>
      <c r="F849" t="str">
        <f>"001"</f>
        <v>001</v>
      </c>
      <c r="G849">
        <v>5</v>
      </c>
      <c r="H849" t="str">
        <f>"22"</f>
        <v>22</v>
      </c>
      <c r="I849" t="str">
        <f t="shared" si="231"/>
        <v>0</v>
      </c>
      <c r="J849" t="str">
        <f t="shared" si="220"/>
        <v>00</v>
      </c>
      <c r="K849">
        <v>20141231</v>
      </c>
      <c r="L849" t="str">
        <f>"014695"</f>
        <v>014695</v>
      </c>
      <c r="M849" t="str">
        <f>"00548"</f>
        <v>00548</v>
      </c>
      <c r="N849" t="s">
        <v>167</v>
      </c>
      <c r="O849">
        <v>50</v>
      </c>
      <c r="Q849" t="s">
        <v>33</v>
      </c>
      <c r="R849" t="s">
        <v>34</v>
      </c>
      <c r="S849" t="s">
        <v>35</v>
      </c>
      <c r="T849" t="s">
        <v>35</v>
      </c>
      <c r="U849" t="s">
        <v>34</v>
      </c>
      <c r="V849" t="str">
        <f>""</f>
        <v/>
      </c>
      <c r="W849">
        <v>20141231</v>
      </c>
      <c r="X849" t="s">
        <v>594</v>
      </c>
      <c r="Y849" t="s">
        <v>625</v>
      </c>
      <c r="Z849" t="s">
        <v>625</v>
      </c>
      <c r="AA849">
        <v>0</v>
      </c>
      <c r="AB849" t="s">
        <v>596</v>
      </c>
      <c r="AC849" t="s">
        <v>41</v>
      </c>
      <c r="AD849" t="s">
        <v>40</v>
      </c>
      <c r="AE849" t="str">
        <f t="shared" si="229"/>
        <v>12</v>
      </c>
      <c r="AF849" t="s">
        <v>40</v>
      </c>
    </row>
    <row r="850" spans="1:32" x14ac:dyDescent="0.25">
      <c r="A850">
        <v>5</v>
      </c>
      <c r="B850">
        <v>420</v>
      </c>
      <c r="C850" t="str">
        <f>"41"</f>
        <v>41</v>
      </c>
      <c r="D850">
        <v>6499</v>
      </c>
      <c r="E850" t="str">
        <f t="shared" si="233"/>
        <v>00</v>
      </c>
      <c r="F850" t="str">
        <f>"750"</f>
        <v>750</v>
      </c>
      <c r="G850">
        <v>5</v>
      </c>
      <c r="H850" t="str">
        <f>"99"</f>
        <v>99</v>
      </c>
      <c r="I850" t="str">
        <f t="shared" si="231"/>
        <v>0</v>
      </c>
      <c r="J850" t="str">
        <f t="shared" si="220"/>
        <v>00</v>
      </c>
      <c r="K850">
        <v>20141231</v>
      </c>
      <c r="L850" t="str">
        <f>"014695"</f>
        <v>014695</v>
      </c>
      <c r="M850" t="str">
        <f>"00548"</f>
        <v>00548</v>
      </c>
      <c r="N850" t="s">
        <v>167</v>
      </c>
      <c r="O850">
        <v>39.72</v>
      </c>
      <c r="Q850" t="s">
        <v>33</v>
      </c>
      <c r="R850" t="s">
        <v>34</v>
      </c>
      <c r="S850" t="s">
        <v>35</v>
      </c>
      <c r="T850" t="s">
        <v>35</v>
      </c>
      <c r="U850" t="s">
        <v>34</v>
      </c>
      <c r="V850" t="str">
        <f>""</f>
        <v/>
      </c>
      <c r="W850">
        <v>20141231</v>
      </c>
      <c r="X850" t="s">
        <v>168</v>
      </c>
      <c r="Y850" t="s">
        <v>626</v>
      </c>
      <c r="Z850" t="s">
        <v>626</v>
      </c>
      <c r="AA850">
        <v>0</v>
      </c>
      <c r="AB850" t="s">
        <v>142</v>
      </c>
      <c r="AC850" t="s">
        <v>170</v>
      </c>
      <c r="AD850" t="s">
        <v>40</v>
      </c>
      <c r="AE850" t="str">
        <f t="shared" si="229"/>
        <v>12</v>
      </c>
      <c r="AF850" t="s">
        <v>40</v>
      </c>
    </row>
    <row r="851" spans="1:32" x14ac:dyDescent="0.25">
      <c r="A851">
        <v>5</v>
      </c>
      <c r="B851">
        <v>420</v>
      </c>
      <c r="C851" t="str">
        <f>"13"</f>
        <v>13</v>
      </c>
      <c r="D851">
        <v>6399</v>
      </c>
      <c r="E851" t="str">
        <f t="shared" si="233"/>
        <v>00</v>
      </c>
      <c r="F851" t="str">
        <f>"001"</f>
        <v>001</v>
      </c>
      <c r="G851">
        <v>5</v>
      </c>
      <c r="H851" t="str">
        <f>"11"</f>
        <v>11</v>
      </c>
      <c r="I851" t="str">
        <f t="shared" si="231"/>
        <v>0</v>
      </c>
      <c r="J851" t="str">
        <f t="shared" si="220"/>
        <v>00</v>
      </c>
      <c r="K851">
        <v>20150114</v>
      </c>
      <c r="L851" t="str">
        <f>"014696"</f>
        <v>014696</v>
      </c>
      <c r="M851" t="str">
        <f>"00757"</f>
        <v>00757</v>
      </c>
      <c r="N851" t="s">
        <v>504</v>
      </c>
      <c r="O851">
        <v>351</v>
      </c>
      <c r="Q851" t="s">
        <v>33</v>
      </c>
      <c r="R851" t="s">
        <v>34</v>
      </c>
      <c r="S851" t="s">
        <v>35</v>
      </c>
      <c r="T851" t="s">
        <v>35</v>
      </c>
      <c r="U851" t="s">
        <v>34</v>
      </c>
      <c r="V851" t="str">
        <f>""</f>
        <v/>
      </c>
      <c r="W851">
        <v>20150109</v>
      </c>
      <c r="X851" t="s">
        <v>390</v>
      </c>
      <c r="Y851" t="s">
        <v>627</v>
      </c>
      <c r="Z851" t="s">
        <v>627</v>
      </c>
      <c r="AA851">
        <v>0</v>
      </c>
      <c r="AB851" t="s">
        <v>142</v>
      </c>
      <c r="AC851" t="s">
        <v>41</v>
      </c>
      <c r="AD851" t="s">
        <v>40</v>
      </c>
      <c r="AE851" t="str">
        <f t="shared" ref="AE851:AE914" si="237">"01"</f>
        <v>01</v>
      </c>
      <c r="AF851" t="s">
        <v>40</v>
      </c>
    </row>
    <row r="852" spans="1:32" x14ac:dyDescent="0.25">
      <c r="A852">
        <v>5</v>
      </c>
      <c r="B852">
        <v>420</v>
      </c>
      <c r="C852" t="str">
        <f>"13"</f>
        <v>13</v>
      </c>
      <c r="D852">
        <v>6399</v>
      </c>
      <c r="E852" t="str">
        <f t="shared" si="233"/>
        <v>00</v>
      </c>
      <c r="F852" t="str">
        <f>"041"</f>
        <v>041</v>
      </c>
      <c r="G852">
        <v>5</v>
      </c>
      <c r="H852" t="str">
        <f>"11"</f>
        <v>11</v>
      </c>
      <c r="I852" t="str">
        <f t="shared" si="231"/>
        <v>0</v>
      </c>
      <c r="J852" t="str">
        <f t="shared" si="220"/>
        <v>00</v>
      </c>
      <c r="K852">
        <v>20150114</v>
      </c>
      <c r="L852" t="str">
        <f>"014696"</f>
        <v>014696</v>
      </c>
      <c r="M852" t="str">
        <f>"00757"</f>
        <v>00757</v>
      </c>
      <c r="N852" t="s">
        <v>504</v>
      </c>
      <c r="O852">
        <v>351</v>
      </c>
      <c r="Q852" t="s">
        <v>33</v>
      </c>
      <c r="R852" t="s">
        <v>34</v>
      </c>
      <c r="S852" t="s">
        <v>35</v>
      </c>
      <c r="T852" t="s">
        <v>35</v>
      </c>
      <c r="U852" t="s">
        <v>34</v>
      </c>
      <c r="V852" t="str">
        <f>""</f>
        <v/>
      </c>
      <c r="W852">
        <v>20150109</v>
      </c>
      <c r="X852" t="s">
        <v>392</v>
      </c>
      <c r="Y852" t="s">
        <v>627</v>
      </c>
      <c r="Z852" t="s">
        <v>627</v>
      </c>
      <c r="AA852">
        <v>0</v>
      </c>
      <c r="AB852" t="s">
        <v>142</v>
      </c>
      <c r="AC852" t="s">
        <v>41</v>
      </c>
      <c r="AD852" t="s">
        <v>40</v>
      </c>
      <c r="AE852" t="str">
        <f t="shared" si="237"/>
        <v>01</v>
      </c>
      <c r="AF852" t="s">
        <v>40</v>
      </c>
    </row>
    <row r="853" spans="1:32" x14ac:dyDescent="0.25">
      <c r="A853">
        <v>5</v>
      </c>
      <c r="B853">
        <v>420</v>
      </c>
      <c r="C853" t="str">
        <f>"13"</f>
        <v>13</v>
      </c>
      <c r="D853">
        <v>6399</v>
      </c>
      <c r="E853" t="str">
        <f t="shared" si="233"/>
        <v>00</v>
      </c>
      <c r="F853" t="str">
        <f>"101"</f>
        <v>101</v>
      </c>
      <c r="G853">
        <v>5</v>
      </c>
      <c r="H853" t="str">
        <f>"11"</f>
        <v>11</v>
      </c>
      <c r="I853" t="str">
        <f t="shared" si="231"/>
        <v>0</v>
      </c>
      <c r="J853" t="str">
        <f t="shared" ref="J853:J916" si="238">"00"</f>
        <v>00</v>
      </c>
      <c r="K853">
        <v>20150114</v>
      </c>
      <c r="L853" t="str">
        <f>"014696"</f>
        <v>014696</v>
      </c>
      <c r="M853" t="str">
        <f>"00757"</f>
        <v>00757</v>
      </c>
      <c r="N853" t="s">
        <v>504</v>
      </c>
      <c r="O853" s="1">
        <v>9306.36</v>
      </c>
      <c r="Q853" t="s">
        <v>33</v>
      </c>
      <c r="R853" t="s">
        <v>34</v>
      </c>
      <c r="S853" t="s">
        <v>35</v>
      </c>
      <c r="T853" t="s">
        <v>35</v>
      </c>
      <c r="U853" t="s">
        <v>34</v>
      </c>
      <c r="V853" t="str">
        <f>""</f>
        <v/>
      </c>
      <c r="W853">
        <v>20150109</v>
      </c>
      <c r="X853" t="s">
        <v>393</v>
      </c>
      <c r="Y853" t="s">
        <v>627</v>
      </c>
      <c r="Z853" t="s">
        <v>627</v>
      </c>
      <c r="AA853">
        <v>0</v>
      </c>
      <c r="AB853" t="s">
        <v>142</v>
      </c>
      <c r="AC853" t="s">
        <v>41</v>
      </c>
      <c r="AD853" t="s">
        <v>40</v>
      </c>
      <c r="AE853" t="str">
        <f t="shared" si="237"/>
        <v>01</v>
      </c>
      <c r="AF853" t="s">
        <v>40</v>
      </c>
    </row>
    <row r="854" spans="1:32" x14ac:dyDescent="0.25">
      <c r="A854">
        <v>5</v>
      </c>
      <c r="B854">
        <v>420</v>
      </c>
      <c r="C854" t="str">
        <f>"52"</f>
        <v>52</v>
      </c>
      <c r="D854">
        <v>6219</v>
      </c>
      <c r="E854" t="str">
        <f t="shared" si="233"/>
        <v>00</v>
      </c>
      <c r="F854" t="str">
        <f>"999"</f>
        <v>999</v>
      </c>
      <c r="G854">
        <v>5</v>
      </c>
      <c r="H854" t="str">
        <f t="shared" ref="H854:H879" si="239">"99"</f>
        <v>99</v>
      </c>
      <c r="I854" t="str">
        <f t="shared" si="231"/>
        <v>0</v>
      </c>
      <c r="J854" t="str">
        <f t="shared" si="238"/>
        <v>00</v>
      </c>
      <c r="K854">
        <v>20150114</v>
      </c>
      <c r="L854" t="str">
        <f>"014697"</f>
        <v>014697</v>
      </c>
      <c r="M854" t="str">
        <f>"00392"</f>
        <v>00392</v>
      </c>
      <c r="N854" t="s">
        <v>218</v>
      </c>
      <c r="O854">
        <v>35.950000000000003</v>
      </c>
      <c r="Q854" t="s">
        <v>33</v>
      </c>
      <c r="R854" t="s">
        <v>34</v>
      </c>
      <c r="S854" t="s">
        <v>35</v>
      </c>
      <c r="T854" t="s">
        <v>35</v>
      </c>
      <c r="U854" t="s">
        <v>34</v>
      </c>
      <c r="V854" t="str">
        <f>""</f>
        <v/>
      </c>
      <c r="W854">
        <v>20150109</v>
      </c>
      <c r="X854" t="s">
        <v>208</v>
      </c>
      <c r="Y854" t="s">
        <v>616</v>
      </c>
      <c r="Z854" t="s">
        <v>616</v>
      </c>
      <c r="AA854">
        <v>0</v>
      </c>
      <c r="AB854" t="s">
        <v>142</v>
      </c>
      <c r="AC854" t="s">
        <v>143</v>
      </c>
      <c r="AD854" t="s">
        <v>40</v>
      </c>
      <c r="AE854" t="str">
        <f t="shared" si="237"/>
        <v>01</v>
      </c>
      <c r="AF854" t="s">
        <v>40</v>
      </c>
    </row>
    <row r="855" spans="1:32" x14ac:dyDescent="0.25">
      <c r="A855">
        <v>5</v>
      </c>
      <c r="B855">
        <v>240</v>
      </c>
      <c r="C855" t="str">
        <f>"35"</f>
        <v>35</v>
      </c>
      <c r="D855">
        <v>6319</v>
      </c>
      <c r="E855" t="str">
        <f t="shared" si="233"/>
        <v>00</v>
      </c>
      <c r="F855" t="str">
        <f>"999"</f>
        <v>999</v>
      </c>
      <c r="G855">
        <v>5</v>
      </c>
      <c r="H855" t="str">
        <f t="shared" si="239"/>
        <v>99</v>
      </c>
      <c r="I855" t="str">
        <f t="shared" si="231"/>
        <v>0</v>
      </c>
      <c r="J855" t="str">
        <f t="shared" si="238"/>
        <v>00</v>
      </c>
      <c r="K855">
        <v>20150114</v>
      </c>
      <c r="L855" t="str">
        <f>"014698"</f>
        <v>014698</v>
      </c>
      <c r="M855" t="str">
        <f>"00401"</f>
        <v>00401</v>
      </c>
      <c r="N855" t="s">
        <v>545</v>
      </c>
      <c r="O855">
        <v>690.12</v>
      </c>
      <c r="Q855" t="s">
        <v>33</v>
      </c>
      <c r="R855" t="s">
        <v>34</v>
      </c>
      <c r="S855" t="s">
        <v>35</v>
      </c>
      <c r="T855" t="s">
        <v>35</v>
      </c>
      <c r="U855" t="s">
        <v>34</v>
      </c>
      <c r="V855" t="str">
        <f>""</f>
        <v/>
      </c>
      <c r="W855">
        <v>20150109</v>
      </c>
      <c r="X855" t="s">
        <v>267</v>
      </c>
      <c r="Y855" t="s">
        <v>333</v>
      </c>
      <c r="Z855" t="s">
        <v>333</v>
      </c>
      <c r="AA855">
        <v>0</v>
      </c>
      <c r="AB855" t="s">
        <v>238</v>
      </c>
      <c r="AC855" t="s">
        <v>143</v>
      </c>
      <c r="AD855" t="s">
        <v>40</v>
      </c>
      <c r="AE855" t="str">
        <f t="shared" si="237"/>
        <v>01</v>
      </c>
      <c r="AF855" t="s">
        <v>40</v>
      </c>
    </row>
    <row r="856" spans="1:32" x14ac:dyDescent="0.25">
      <c r="A856">
        <v>5</v>
      </c>
      <c r="B856">
        <v>420</v>
      </c>
      <c r="C856" t="str">
        <f>"51"</f>
        <v>51</v>
      </c>
      <c r="D856">
        <v>6219</v>
      </c>
      <c r="E856" t="str">
        <f t="shared" si="233"/>
        <v>00</v>
      </c>
      <c r="F856" t="str">
        <f>"999"</f>
        <v>999</v>
      </c>
      <c r="G856">
        <v>5</v>
      </c>
      <c r="H856" t="str">
        <f t="shared" si="239"/>
        <v>99</v>
      </c>
      <c r="I856" t="str">
        <f t="shared" si="231"/>
        <v>0</v>
      </c>
      <c r="J856" t="str">
        <f t="shared" si="238"/>
        <v>00</v>
      </c>
      <c r="K856">
        <v>20150114</v>
      </c>
      <c r="L856" t="str">
        <f>"014699"</f>
        <v>014699</v>
      </c>
      <c r="M856" t="str">
        <f>"00102"</f>
        <v>00102</v>
      </c>
      <c r="N856" t="s">
        <v>367</v>
      </c>
      <c r="O856">
        <v>145</v>
      </c>
      <c r="Q856" t="s">
        <v>33</v>
      </c>
      <c r="R856" t="s">
        <v>34</v>
      </c>
      <c r="S856" t="s">
        <v>35</v>
      </c>
      <c r="T856" t="s">
        <v>35</v>
      </c>
      <c r="U856" t="s">
        <v>34</v>
      </c>
      <c r="V856" t="str">
        <f>""</f>
        <v/>
      </c>
      <c r="W856">
        <v>20150112</v>
      </c>
      <c r="X856" t="s">
        <v>183</v>
      </c>
      <c r="Y856" t="s">
        <v>368</v>
      </c>
      <c r="Z856" t="s">
        <v>368</v>
      </c>
      <c r="AA856">
        <v>0</v>
      </c>
      <c r="AB856" t="s">
        <v>142</v>
      </c>
      <c r="AC856" t="s">
        <v>143</v>
      </c>
      <c r="AD856" t="s">
        <v>40</v>
      </c>
      <c r="AE856" t="str">
        <f t="shared" si="237"/>
        <v>01</v>
      </c>
      <c r="AF856" t="s">
        <v>40</v>
      </c>
    </row>
    <row r="857" spans="1:32" x14ac:dyDescent="0.25">
      <c r="A857">
        <v>5</v>
      </c>
      <c r="B857">
        <v>420</v>
      </c>
      <c r="C857" t="str">
        <f>"51"</f>
        <v>51</v>
      </c>
      <c r="D857">
        <v>6219</v>
      </c>
      <c r="E857" t="str">
        <f t="shared" si="233"/>
        <v>00</v>
      </c>
      <c r="F857" t="str">
        <f>"999"</f>
        <v>999</v>
      </c>
      <c r="G857">
        <v>5</v>
      </c>
      <c r="H857" t="str">
        <f t="shared" si="239"/>
        <v>99</v>
      </c>
      <c r="I857" t="str">
        <f t="shared" si="231"/>
        <v>0</v>
      </c>
      <c r="J857" t="str">
        <f t="shared" si="238"/>
        <v>00</v>
      </c>
      <c r="K857">
        <v>20150114</v>
      </c>
      <c r="L857" t="str">
        <f>"014699"</f>
        <v>014699</v>
      </c>
      <c r="M857" t="str">
        <f>"00102"</f>
        <v>00102</v>
      </c>
      <c r="N857" t="s">
        <v>367</v>
      </c>
      <c r="O857">
        <v>145</v>
      </c>
      <c r="Q857" t="s">
        <v>33</v>
      </c>
      <c r="R857" t="s">
        <v>34</v>
      </c>
      <c r="S857" t="s">
        <v>35</v>
      </c>
      <c r="T857" t="s">
        <v>35</v>
      </c>
      <c r="U857" t="s">
        <v>34</v>
      </c>
      <c r="V857" t="str">
        <f>""</f>
        <v/>
      </c>
      <c r="W857">
        <v>20150112</v>
      </c>
      <c r="X857" t="s">
        <v>183</v>
      </c>
      <c r="Y857" t="s">
        <v>368</v>
      </c>
      <c r="Z857" t="s">
        <v>368</v>
      </c>
      <c r="AA857">
        <v>0</v>
      </c>
      <c r="AB857" t="s">
        <v>142</v>
      </c>
      <c r="AC857" t="s">
        <v>143</v>
      </c>
      <c r="AD857" t="s">
        <v>40</v>
      </c>
      <c r="AE857" t="str">
        <f t="shared" si="237"/>
        <v>01</v>
      </c>
      <c r="AF857" t="s">
        <v>40</v>
      </c>
    </row>
    <row r="858" spans="1:32" x14ac:dyDescent="0.25">
      <c r="A858">
        <v>5</v>
      </c>
      <c r="B858">
        <v>240</v>
      </c>
      <c r="C858" t="str">
        <f>"51"</f>
        <v>51</v>
      </c>
      <c r="D858">
        <v>6319</v>
      </c>
      <c r="E858" t="str">
        <f t="shared" si="233"/>
        <v>00</v>
      </c>
      <c r="F858" t="str">
        <f>"999"</f>
        <v>999</v>
      </c>
      <c r="G858">
        <v>5</v>
      </c>
      <c r="H858" t="str">
        <f t="shared" si="239"/>
        <v>99</v>
      </c>
      <c r="I858" t="str">
        <f t="shared" si="231"/>
        <v>0</v>
      </c>
      <c r="J858" t="str">
        <f t="shared" si="238"/>
        <v>00</v>
      </c>
      <c r="K858">
        <v>20150114</v>
      </c>
      <c r="L858" t="str">
        <f t="shared" ref="L858:L878" si="240">"014700"</f>
        <v>014700</v>
      </c>
      <c r="M858" t="str">
        <f t="shared" ref="M858:M878" si="241">"00152"</f>
        <v>00152</v>
      </c>
      <c r="N858" t="s">
        <v>413</v>
      </c>
      <c r="O858">
        <v>30.23</v>
      </c>
      <c r="Q858" t="s">
        <v>33</v>
      </c>
      <c r="R858" t="s">
        <v>34</v>
      </c>
      <c r="S858" t="s">
        <v>35</v>
      </c>
      <c r="T858" t="s">
        <v>35</v>
      </c>
      <c r="U858" t="s">
        <v>34</v>
      </c>
      <c r="V858" t="str">
        <f>""</f>
        <v/>
      </c>
      <c r="W858">
        <v>20150112</v>
      </c>
      <c r="X858" t="s">
        <v>350</v>
      </c>
      <c r="Y858" t="s">
        <v>628</v>
      </c>
      <c r="Z858" t="s">
        <v>628</v>
      </c>
      <c r="AA858">
        <v>0</v>
      </c>
      <c r="AB858" t="s">
        <v>238</v>
      </c>
      <c r="AC858" t="s">
        <v>143</v>
      </c>
      <c r="AD858" t="s">
        <v>40</v>
      </c>
      <c r="AE858" t="str">
        <f t="shared" si="237"/>
        <v>01</v>
      </c>
      <c r="AF858" t="s">
        <v>40</v>
      </c>
    </row>
    <row r="859" spans="1:32" x14ac:dyDescent="0.25">
      <c r="A859">
        <v>5</v>
      </c>
      <c r="B859">
        <v>420</v>
      </c>
      <c r="C859" t="str">
        <f>"41"</f>
        <v>41</v>
      </c>
      <c r="D859">
        <v>6499</v>
      </c>
      <c r="E859" t="str">
        <f t="shared" si="233"/>
        <v>00</v>
      </c>
      <c r="F859" t="str">
        <f>"750"</f>
        <v>750</v>
      </c>
      <c r="G859">
        <v>5</v>
      </c>
      <c r="H859" t="str">
        <f t="shared" si="239"/>
        <v>99</v>
      </c>
      <c r="I859" t="str">
        <f t="shared" si="231"/>
        <v>0</v>
      </c>
      <c r="J859" t="str">
        <f t="shared" si="238"/>
        <v>00</v>
      </c>
      <c r="K859">
        <v>20150114</v>
      </c>
      <c r="L859" t="str">
        <f t="shared" si="240"/>
        <v>014700</v>
      </c>
      <c r="M859" t="str">
        <f t="shared" si="241"/>
        <v>00152</v>
      </c>
      <c r="N859" t="s">
        <v>413</v>
      </c>
      <c r="O859">
        <v>86.42</v>
      </c>
      <c r="Q859" t="s">
        <v>33</v>
      </c>
      <c r="R859" t="s">
        <v>34</v>
      </c>
      <c r="S859" t="s">
        <v>35</v>
      </c>
      <c r="T859" t="s">
        <v>35</v>
      </c>
      <c r="U859" t="s">
        <v>34</v>
      </c>
      <c r="V859" t="str">
        <f>""</f>
        <v/>
      </c>
      <c r="W859">
        <v>20150114</v>
      </c>
      <c r="X859" t="s">
        <v>168</v>
      </c>
      <c r="Y859" t="s">
        <v>626</v>
      </c>
      <c r="Z859" t="s">
        <v>626</v>
      </c>
      <c r="AA859">
        <v>0</v>
      </c>
      <c r="AB859" t="s">
        <v>142</v>
      </c>
      <c r="AC859" t="s">
        <v>170</v>
      </c>
      <c r="AD859" t="s">
        <v>40</v>
      </c>
      <c r="AE859" t="str">
        <f t="shared" si="237"/>
        <v>01</v>
      </c>
      <c r="AF859" t="s">
        <v>40</v>
      </c>
    </row>
    <row r="860" spans="1:32" x14ac:dyDescent="0.25">
      <c r="A860">
        <v>5</v>
      </c>
      <c r="B860">
        <v>420</v>
      </c>
      <c r="C860" t="str">
        <f t="shared" ref="C860:C879" si="242">"51"</f>
        <v>51</v>
      </c>
      <c r="D860">
        <v>6319</v>
      </c>
      <c r="E860" t="str">
        <f t="shared" si="233"/>
        <v>00</v>
      </c>
      <c r="F860" t="str">
        <f t="shared" ref="F860:F879" si="243">"999"</f>
        <v>999</v>
      </c>
      <c r="G860">
        <v>5</v>
      </c>
      <c r="H860" t="str">
        <f t="shared" si="239"/>
        <v>99</v>
      </c>
      <c r="I860" t="str">
        <f t="shared" si="231"/>
        <v>0</v>
      </c>
      <c r="J860" t="str">
        <f t="shared" si="238"/>
        <v>00</v>
      </c>
      <c r="K860">
        <v>20150114</v>
      </c>
      <c r="L860" t="str">
        <f t="shared" si="240"/>
        <v>014700</v>
      </c>
      <c r="M860" t="str">
        <f t="shared" si="241"/>
        <v>00152</v>
      </c>
      <c r="N860" t="s">
        <v>413</v>
      </c>
      <c r="O860">
        <v>65.47</v>
      </c>
      <c r="Q860" t="s">
        <v>33</v>
      </c>
      <c r="R860" t="s">
        <v>34</v>
      </c>
      <c r="S860" t="s">
        <v>35</v>
      </c>
      <c r="T860" t="s">
        <v>35</v>
      </c>
      <c r="U860" t="s">
        <v>34</v>
      </c>
      <c r="V860" t="str">
        <f>""</f>
        <v/>
      </c>
      <c r="W860">
        <v>20150112</v>
      </c>
      <c r="X860" t="s">
        <v>185</v>
      </c>
      <c r="Y860" t="s">
        <v>629</v>
      </c>
      <c r="Z860" t="s">
        <v>629</v>
      </c>
      <c r="AA860">
        <v>0</v>
      </c>
      <c r="AB860" t="s">
        <v>142</v>
      </c>
      <c r="AC860" t="s">
        <v>143</v>
      </c>
      <c r="AD860" t="s">
        <v>40</v>
      </c>
      <c r="AE860" t="str">
        <f t="shared" si="237"/>
        <v>01</v>
      </c>
      <c r="AF860" t="s">
        <v>40</v>
      </c>
    </row>
    <row r="861" spans="1:32" x14ac:dyDescent="0.25">
      <c r="A861">
        <v>5</v>
      </c>
      <c r="B861">
        <v>420</v>
      </c>
      <c r="C861" t="str">
        <f t="shared" si="242"/>
        <v>51</v>
      </c>
      <c r="D861">
        <v>6319</v>
      </c>
      <c r="E861" t="str">
        <f t="shared" si="233"/>
        <v>00</v>
      </c>
      <c r="F861" t="str">
        <f t="shared" si="243"/>
        <v>999</v>
      </c>
      <c r="G861">
        <v>5</v>
      </c>
      <c r="H861" t="str">
        <f t="shared" si="239"/>
        <v>99</v>
      </c>
      <c r="I861" t="str">
        <f t="shared" si="231"/>
        <v>0</v>
      </c>
      <c r="J861" t="str">
        <f t="shared" si="238"/>
        <v>00</v>
      </c>
      <c r="K861">
        <v>20150114</v>
      </c>
      <c r="L861" t="str">
        <f t="shared" si="240"/>
        <v>014700</v>
      </c>
      <c r="M861" t="str">
        <f t="shared" si="241"/>
        <v>00152</v>
      </c>
      <c r="N861" t="s">
        <v>413</v>
      </c>
      <c r="O861">
        <v>251.59</v>
      </c>
      <c r="Q861" t="s">
        <v>33</v>
      </c>
      <c r="R861" t="s">
        <v>34</v>
      </c>
      <c r="S861" t="s">
        <v>35</v>
      </c>
      <c r="T861" t="s">
        <v>35</v>
      </c>
      <c r="U861" t="s">
        <v>34</v>
      </c>
      <c r="V861" t="str">
        <f>""</f>
        <v/>
      </c>
      <c r="W861">
        <v>20150112</v>
      </c>
      <c r="X861" t="s">
        <v>185</v>
      </c>
      <c r="Y861" t="s">
        <v>629</v>
      </c>
      <c r="Z861" t="s">
        <v>629</v>
      </c>
      <c r="AA861">
        <v>0</v>
      </c>
      <c r="AB861" t="s">
        <v>142</v>
      </c>
      <c r="AC861" t="s">
        <v>143</v>
      </c>
      <c r="AD861" t="s">
        <v>40</v>
      </c>
      <c r="AE861" t="str">
        <f t="shared" si="237"/>
        <v>01</v>
      </c>
      <c r="AF861" t="s">
        <v>40</v>
      </c>
    </row>
    <row r="862" spans="1:32" x14ac:dyDescent="0.25">
      <c r="A862">
        <v>5</v>
      </c>
      <c r="B862">
        <v>420</v>
      </c>
      <c r="C862" t="str">
        <f t="shared" si="242"/>
        <v>51</v>
      </c>
      <c r="D862">
        <v>6319</v>
      </c>
      <c r="E862" t="str">
        <f t="shared" si="233"/>
        <v>00</v>
      </c>
      <c r="F862" t="str">
        <f t="shared" si="243"/>
        <v>999</v>
      </c>
      <c r="G862">
        <v>5</v>
      </c>
      <c r="H862" t="str">
        <f t="shared" si="239"/>
        <v>99</v>
      </c>
      <c r="I862" t="str">
        <f t="shared" si="231"/>
        <v>0</v>
      </c>
      <c r="J862" t="str">
        <f t="shared" si="238"/>
        <v>00</v>
      </c>
      <c r="K862">
        <v>20150114</v>
      </c>
      <c r="L862" t="str">
        <f t="shared" si="240"/>
        <v>014700</v>
      </c>
      <c r="M862" t="str">
        <f t="shared" si="241"/>
        <v>00152</v>
      </c>
      <c r="N862" t="s">
        <v>413</v>
      </c>
      <c r="O862">
        <v>901.55</v>
      </c>
      <c r="Q862" t="s">
        <v>33</v>
      </c>
      <c r="R862" t="s">
        <v>34</v>
      </c>
      <c r="S862" t="s">
        <v>35</v>
      </c>
      <c r="T862" t="s">
        <v>35</v>
      </c>
      <c r="U862" t="s">
        <v>34</v>
      </c>
      <c r="V862" t="str">
        <f>""</f>
        <v/>
      </c>
      <c r="W862">
        <v>20150112</v>
      </c>
      <c r="X862" t="s">
        <v>185</v>
      </c>
      <c r="Y862" t="s">
        <v>630</v>
      </c>
      <c r="Z862" t="s">
        <v>630</v>
      </c>
      <c r="AA862">
        <v>0</v>
      </c>
      <c r="AB862" t="s">
        <v>142</v>
      </c>
      <c r="AC862" t="s">
        <v>143</v>
      </c>
      <c r="AD862" t="s">
        <v>40</v>
      </c>
      <c r="AE862" t="str">
        <f t="shared" si="237"/>
        <v>01</v>
      </c>
      <c r="AF862" t="s">
        <v>40</v>
      </c>
    </row>
    <row r="863" spans="1:32" x14ac:dyDescent="0.25">
      <c r="A863">
        <v>5</v>
      </c>
      <c r="B863">
        <v>420</v>
      </c>
      <c r="C863" t="str">
        <f t="shared" si="242"/>
        <v>51</v>
      </c>
      <c r="D863">
        <v>6319</v>
      </c>
      <c r="E863" t="str">
        <f t="shared" si="233"/>
        <v>00</v>
      </c>
      <c r="F863" t="str">
        <f t="shared" si="243"/>
        <v>999</v>
      </c>
      <c r="G863">
        <v>5</v>
      </c>
      <c r="H863" t="str">
        <f t="shared" si="239"/>
        <v>99</v>
      </c>
      <c r="I863" t="str">
        <f t="shared" si="231"/>
        <v>0</v>
      </c>
      <c r="J863" t="str">
        <f t="shared" si="238"/>
        <v>00</v>
      </c>
      <c r="K863">
        <v>20150114</v>
      </c>
      <c r="L863" t="str">
        <f t="shared" si="240"/>
        <v>014700</v>
      </c>
      <c r="M863" t="str">
        <f t="shared" si="241"/>
        <v>00152</v>
      </c>
      <c r="N863" t="s">
        <v>413</v>
      </c>
      <c r="O863">
        <v>54.2</v>
      </c>
      <c r="Q863" t="s">
        <v>33</v>
      </c>
      <c r="R863" t="s">
        <v>34</v>
      </c>
      <c r="S863" t="s">
        <v>35</v>
      </c>
      <c r="T863" t="s">
        <v>35</v>
      </c>
      <c r="U863" t="s">
        <v>34</v>
      </c>
      <c r="V863" t="str">
        <f>""</f>
        <v/>
      </c>
      <c r="W863">
        <v>20150112</v>
      </c>
      <c r="X863" t="s">
        <v>185</v>
      </c>
      <c r="Y863" t="s">
        <v>630</v>
      </c>
      <c r="Z863" t="s">
        <v>630</v>
      </c>
      <c r="AA863">
        <v>0</v>
      </c>
      <c r="AB863" t="s">
        <v>142</v>
      </c>
      <c r="AC863" t="s">
        <v>143</v>
      </c>
      <c r="AD863" t="s">
        <v>40</v>
      </c>
      <c r="AE863" t="str">
        <f t="shared" si="237"/>
        <v>01</v>
      </c>
      <c r="AF863" t="s">
        <v>40</v>
      </c>
    </row>
    <row r="864" spans="1:32" x14ac:dyDescent="0.25">
      <c r="A864">
        <v>5</v>
      </c>
      <c r="B864">
        <v>420</v>
      </c>
      <c r="C864" t="str">
        <f t="shared" si="242"/>
        <v>51</v>
      </c>
      <c r="D864">
        <v>6319</v>
      </c>
      <c r="E864" t="str">
        <f t="shared" si="233"/>
        <v>00</v>
      </c>
      <c r="F864" t="str">
        <f t="shared" si="243"/>
        <v>999</v>
      </c>
      <c r="G864">
        <v>5</v>
      </c>
      <c r="H864" t="str">
        <f t="shared" si="239"/>
        <v>99</v>
      </c>
      <c r="I864" t="str">
        <f t="shared" si="231"/>
        <v>0</v>
      </c>
      <c r="J864" t="str">
        <f t="shared" si="238"/>
        <v>00</v>
      </c>
      <c r="K864">
        <v>20150114</v>
      </c>
      <c r="L864" t="str">
        <f t="shared" si="240"/>
        <v>014700</v>
      </c>
      <c r="M864" t="str">
        <f t="shared" si="241"/>
        <v>00152</v>
      </c>
      <c r="N864" t="s">
        <v>413</v>
      </c>
      <c r="O864">
        <v>126.51</v>
      </c>
      <c r="Q864" t="s">
        <v>33</v>
      </c>
      <c r="R864" t="s">
        <v>34</v>
      </c>
      <c r="S864" t="s">
        <v>35</v>
      </c>
      <c r="T864" t="s">
        <v>35</v>
      </c>
      <c r="U864" t="s">
        <v>34</v>
      </c>
      <c r="V864" t="str">
        <f>""</f>
        <v/>
      </c>
      <c r="W864">
        <v>20150112</v>
      </c>
      <c r="X864" t="s">
        <v>185</v>
      </c>
      <c r="Y864" t="s">
        <v>630</v>
      </c>
      <c r="Z864" t="s">
        <v>630</v>
      </c>
      <c r="AA864">
        <v>0</v>
      </c>
      <c r="AB864" t="s">
        <v>142</v>
      </c>
      <c r="AC864" t="s">
        <v>143</v>
      </c>
      <c r="AD864" t="s">
        <v>40</v>
      </c>
      <c r="AE864" t="str">
        <f t="shared" si="237"/>
        <v>01</v>
      </c>
      <c r="AF864" t="s">
        <v>40</v>
      </c>
    </row>
    <row r="865" spans="1:32" x14ac:dyDescent="0.25">
      <c r="A865">
        <v>5</v>
      </c>
      <c r="B865">
        <v>420</v>
      </c>
      <c r="C865" t="str">
        <f t="shared" si="242"/>
        <v>51</v>
      </c>
      <c r="D865">
        <v>6319</v>
      </c>
      <c r="E865" t="str">
        <f t="shared" si="233"/>
        <v>00</v>
      </c>
      <c r="F865" t="str">
        <f t="shared" si="243"/>
        <v>999</v>
      </c>
      <c r="G865">
        <v>5</v>
      </c>
      <c r="H865" t="str">
        <f t="shared" si="239"/>
        <v>99</v>
      </c>
      <c r="I865" t="str">
        <f t="shared" si="231"/>
        <v>0</v>
      </c>
      <c r="J865" t="str">
        <f t="shared" si="238"/>
        <v>00</v>
      </c>
      <c r="K865">
        <v>20150114</v>
      </c>
      <c r="L865" t="str">
        <f t="shared" si="240"/>
        <v>014700</v>
      </c>
      <c r="M865" t="str">
        <f t="shared" si="241"/>
        <v>00152</v>
      </c>
      <c r="N865" t="s">
        <v>413</v>
      </c>
      <c r="O865">
        <v>114.82</v>
      </c>
      <c r="Q865" t="s">
        <v>33</v>
      </c>
      <c r="R865" t="s">
        <v>34</v>
      </c>
      <c r="S865" t="s">
        <v>35</v>
      </c>
      <c r="T865" t="s">
        <v>35</v>
      </c>
      <c r="U865" t="s">
        <v>34</v>
      </c>
      <c r="V865" t="str">
        <f>""</f>
        <v/>
      </c>
      <c r="W865">
        <v>20150112</v>
      </c>
      <c r="X865" t="s">
        <v>185</v>
      </c>
      <c r="Y865" t="s">
        <v>630</v>
      </c>
      <c r="Z865" t="s">
        <v>630</v>
      </c>
      <c r="AA865">
        <v>0</v>
      </c>
      <c r="AB865" t="s">
        <v>142</v>
      </c>
      <c r="AC865" t="s">
        <v>143</v>
      </c>
      <c r="AD865" t="s">
        <v>40</v>
      </c>
      <c r="AE865" t="str">
        <f t="shared" si="237"/>
        <v>01</v>
      </c>
      <c r="AF865" t="s">
        <v>40</v>
      </c>
    </row>
    <row r="866" spans="1:32" x14ac:dyDescent="0.25">
      <c r="A866">
        <v>5</v>
      </c>
      <c r="B866">
        <v>420</v>
      </c>
      <c r="C866" t="str">
        <f t="shared" si="242"/>
        <v>51</v>
      </c>
      <c r="D866">
        <v>6319</v>
      </c>
      <c r="E866" t="str">
        <f t="shared" si="233"/>
        <v>00</v>
      </c>
      <c r="F866" t="str">
        <f t="shared" si="243"/>
        <v>999</v>
      </c>
      <c r="G866">
        <v>5</v>
      </c>
      <c r="H866" t="str">
        <f t="shared" si="239"/>
        <v>99</v>
      </c>
      <c r="I866" t="str">
        <f t="shared" si="231"/>
        <v>0</v>
      </c>
      <c r="J866" t="str">
        <f t="shared" si="238"/>
        <v>00</v>
      </c>
      <c r="K866">
        <v>20150114</v>
      </c>
      <c r="L866" t="str">
        <f t="shared" si="240"/>
        <v>014700</v>
      </c>
      <c r="M866" t="str">
        <f t="shared" si="241"/>
        <v>00152</v>
      </c>
      <c r="N866" t="s">
        <v>413</v>
      </c>
      <c r="O866">
        <v>104.73</v>
      </c>
      <c r="Q866" t="s">
        <v>33</v>
      </c>
      <c r="R866" t="s">
        <v>34</v>
      </c>
      <c r="S866" t="s">
        <v>35</v>
      </c>
      <c r="T866" t="s">
        <v>35</v>
      </c>
      <c r="U866" t="s">
        <v>34</v>
      </c>
      <c r="V866" t="str">
        <f>""</f>
        <v/>
      </c>
      <c r="W866">
        <v>20150112</v>
      </c>
      <c r="X866" t="s">
        <v>185</v>
      </c>
      <c r="Y866" t="s">
        <v>628</v>
      </c>
      <c r="Z866" t="s">
        <v>628</v>
      </c>
      <c r="AA866">
        <v>0</v>
      </c>
      <c r="AB866" t="s">
        <v>142</v>
      </c>
      <c r="AC866" t="s">
        <v>143</v>
      </c>
      <c r="AD866" t="s">
        <v>40</v>
      </c>
      <c r="AE866" t="str">
        <f t="shared" si="237"/>
        <v>01</v>
      </c>
      <c r="AF866" t="s">
        <v>40</v>
      </c>
    </row>
    <row r="867" spans="1:32" x14ac:dyDescent="0.25">
      <c r="A867">
        <v>5</v>
      </c>
      <c r="B867">
        <v>420</v>
      </c>
      <c r="C867" t="str">
        <f t="shared" si="242"/>
        <v>51</v>
      </c>
      <c r="D867">
        <v>6319</v>
      </c>
      <c r="E867" t="str">
        <f t="shared" si="233"/>
        <v>00</v>
      </c>
      <c r="F867" t="str">
        <f t="shared" si="243"/>
        <v>999</v>
      </c>
      <c r="G867">
        <v>5</v>
      </c>
      <c r="H867" t="str">
        <f t="shared" si="239"/>
        <v>99</v>
      </c>
      <c r="I867" t="str">
        <f t="shared" si="231"/>
        <v>0</v>
      </c>
      <c r="J867" t="str">
        <f t="shared" si="238"/>
        <v>00</v>
      </c>
      <c r="K867">
        <v>20150114</v>
      </c>
      <c r="L867" t="str">
        <f t="shared" si="240"/>
        <v>014700</v>
      </c>
      <c r="M867" t="str">
        <f t="shared" si="241"/>
        <v>00152</v>
      </c>
      <c r="N867" t="s">
        <v>413</v>
      </c>
      <c r="O867">
        <v>33.299999999999997</v>
      </c>
      <c r="Q867" t="s">
        <v>33</v>
      </c>
      <c r="R867" t="s">
        <v>34</v>
      </c>
      <c r="S867" t="s">
        <v>35</v>
      </c>
      <c r="T867" t="s">
        <v>35</v>
      </c>
      <c r="U867" t="s">
        <v>34</v>
      </c>
      <c r="V867" t="str">
        <f>""</f>
        <v/>
      </c>
      <c r="W867">
        <v>20150112</v>
      </c>
      <c r="X867" t="s">
        <v>185</v>
      </c>
      <c r="Y867" t="s">
        <v>628</v>
      </c>
      <c r="Z867" t="s">
        <v>628</v>
      </c>
      <c r="AA867">
        <v>0</v>
      </c>
      <c r="AB867" t="s">
        <v>142</v>
      </c>
      <c r="AC867" t="s">
        <v>143</v>
      </c>
      <c r="AD867" t="s">
        <v>40</v>
      </c>
      <c r="AE867" t="str">
        <f t="shared" si="237"/>
        <v>01</v>
      </c>
      <c r="AF867" t="s">
        <v>40</v>
      </c>
    </row>
    <row r="868" spans="1:32" x14ac:dyDescent="0.25">
      <c r="A868">
        <v>5</v>
      </c>
      <c r="B868">
        <v>420</v>
      </c>
      <c r="C868" t="str">
        <f t="shared" si="242"/>
        <v>51</v>
      </c>
      <c r="D868">
        <v>6319</v>
      </c>
      <c r="E868" t="str">
        <f t="shared" si="233"/>
        <v>00</v>
      </c>
      <c r="F868" t="str">
        <f t="shared" si="243"/>
        <v>999</v>
      </c>
      <c r="G868">
        <v>5</v>
      </c>
      <c r="H868" t="str">
        <f t="shared" si="239"/>
        <v>99</v>
      </c>
      <c r="I868" t="str">
        <f t="shared" si="231"/>
        <v>0</v>
      </c>
      <c r="J868" t="str">
        <f t="shared" si="238"/>
        <v>00</v>
      </c>
      <c r="K868">
        <v>20150114</v>
      </c>
      <c r="L868" t="str">
        <f t="shared" si="240"/>
        <v>014700</v>
      </c>
      <c r="M868" t="str">
        <f t="shared" si="241"/>
        <v>00152</v>
      </c>
      <c r="N868" t="s">
        <v>413</v>
      </c>
      <c r="O868">
        <v>14.16</v>
      </c>
      <c r="Q868" t="s">
        <v>33</v>
      </c>
      <c r="R868" t="s">
        <v>34</v>
      </c>
      <c r="S868" t="s">
        <v>35</v>
      </c>
      <c r="T868" t="s">
        <v>35</v>
      </c>
      <c r="U868" t="s">
        <v>34</v>
      </c>
      <c r="V868" t="str">
        <f>""</f>
        <v/>
      </c>
      <c r="W868">
        <v>20150112</v>
      </c>
      <c r="X868" t="s">
        <v>185</v>
      </c>
      <c r="Y868" t="s">
        <v>628</v>
      </c>
      <c r="Z868" t="s">
        <v>628</v>
      </c>
      <c r="AA868">
        <v>0</v>
      </c>
      <c r="AB868" t="s">
        <v>142</v>
      </c>
      <c r="AC868" t="s">
        <v>143</v>
      </c>
      <c r="AD868" t="s">
        <v>40</v>
      </c>
      <c r="AE868" t="str">
        <f t="shared" si="237"/>
        <v>01</v>
      </c>
      <c r="AF868" t="s">
        <v>40</v>
      </c>
    </row>
    <row r="869" spans="1:32" x14ac:dyDescent="0.25">
      <c r="A869">
        <v>5</v>
      </c>
      <c r="B869">
        <v>420</v>
      </c>
      <c r="C869" t="str">
        <f t="shared" si="242"/>
        <v>51</v>
      </c>
      <c r="D869">
        <v>6319</v>
      </c>
      <c r="E869" t="str">
        <f t="shared" si="233"/>
        <v>00</v>
      </c>
      <c r="F869" t="str">
        <f t="shared" si="243"/>
        <v>999</v>
      </c>
      <c r="G869">
        <v>5</v>
      </c>
      <c r="H869" t="str">
        <f t="shared" si="239"/>
        <v>99</v>
      </c>
      <c r="I869" t="str">
        <f t="shared" si="231"/>
        <v>0</v>
      </c>
      <c r="J869" t="str">
        <f t="shared" si="238"/>
        <v>00</v>
      </c>
      <c r="K869">
        <v>20150114</v>
      </c>
      <c r="L869" t="str">
        <f t="shared" si="240"/>
        <v>014700</v>
      </c>
      <c r="M869" t="str">
        <f t="shared" si="241"/>
        <v>00152</v>
      </c>
      <c r="N869" t="s">
        <v>413</v>
      </c>
      <c r="O869">
        <v>110.25</v>
      </c>
      <c r="Q869" t="s">
        <v>33</v>
      </c>
      <c r="R869" t="s">
        <v>34</v>
      </c>
      <c r="S869" t="s">
        <v>35</v>
      </c>
      <c r="T869" t="s">
        <v>35</v>
      </c>
      <c r="U869" t="s">
        <v>34</v>
      </c>
      <c r="V869" t="str">
        <f>""</f>
        <v/>
      </c>
      <c r="W869">
        <v>20150112</v>
      </c>
      <c r="X869" t="s">
        <v>185</v>
      </c>
      <c r="Y869" t="s">
        <v>628</v>
      </c>
      <c r="Z869" t="s">
        <v>628</v>
      </c>
      <c r="AA869">
        <v>0</v>
      </c>
      <c r="AB869" t="s">
        <v>142</v>
      </c>
      <c r="AC869" t="s">
        <v>143</v>
      </c>
      <c r="AD869" t="s">
        <v>40</v>
      </c>
      <c r="AE869" t="str">
        <f t="shared" si="237"/>
        <v>01</v>
      </c>
      <c r="AF869" t="s">
        <v>40</v>
      </c>
    </row>
    <row r="870" spans="1:32" x14ac:dyDescent="0.25">
      <c r="A870">
        <v>5</v>
      </c>
      <c r="B870">
        <v>420</v>
      </c>
      <c r="C870" t="str">
        <f t="shared" si="242"/>
        <v>51</v>
      </c>
      <c r="D870">
        <v>6319</v>
      </c>
      <c r="E870" t="str">
        <f t="shared" ref="E870:E892" si="244">"00"</f>
        <v>00</v>
      </c>
      <c r="F870" t="str">
        <f t="shared" si="243"/>
        <v>999</v>
      </c>
      <c r="G870">
        <v>5</v>
      </c>
      <c r="H870" t="str">
        <f t="shared" si="239"/>
        <v>99</v>
      </c>
      <c r="I870" t="str">
        <f t="shared" si="231"/>
        <v>0</v>
      </c>
      <c r="J870" t="str">
        <f t="shared" si="238"/>
        <v>00</v>
      </c>
      <c r="K870">
        <v>20150114</v>
      </c>
      <c r="L870" t="str">
        <f t="shared" si="240"/>
        <v>014700</v>
      </c>
      <c r="M870" t="str">
        <f t="shared" si="241"/>
        <v>00152</v>
      </c>
      <c r="N870" t="s">
        <v>413</v>
      </c>
      <c r="O870">
        <v>59.94</v>
      </c>
      <c r="Q870" t="s">
        <v>33</v>
      </c>
      <c r="R870" t="s">
        <v>34</v>
      </c>
      <c r="S870" t="s">
        <v>35</v>
      </c>
      <c r="T870" t="s">
        <v>35</v>
      </c>
      <c r="U870" t="s">
        <v>34</v>
      </c>
      <c r="V870" t="str">
        <f>""</f>
        <v/>
      </c>
      <c r="W870">
        <v>20150114</v>
      </c>
      <c r="X870" t="s">
        <v>185</v>
      </c>
      <c r="Y870" t="s">
        <v>631</v>
      </c>
      <c r="Z870" t="s">
        <v>631</v>
      </c>
      <c r="AA870">
        <v>0</v>
      </c>
      <c r="AB870" t="s">
        <v>142</v>
      </c>
      <c r="AC870" t="s">
        <v>143</v>
      </c>
      <c r="AD870" t="s">
        <v>40</v>
      </c>
      <c r="AE870" t="str">
        <f t="shared" si="237"/>
        <v>01</v>
      </c>
      <c r="AF870" t="s">
        <v>40</v>
      </c>
    </row>
    <row r="871" spans="1:32" x14ac:dyDescent="0.25">
      <c r="A871">
        <v>5</v>
      </c>
      <c r="B871">
        <v>420</v>
      </c>
      <c r="C871" t="str">
        <f t="shared" si="242"/>
        <v>51</v>
      </c>
      <c r="D871">
        <v>6319</v>
      </c>
      <c r="E871" t="str">
        <f t="shared" si="244"/>
        <v>00</v>
      </c>
      <c r="F871" t="str">
        <f t="shared" si="243"/>
        <v>999</v>
      </c>
      <c r="G871">
        <v>5</v>
      </c>
      <c r="H871" t="str">
        <f t="shared" si="239"/>
        <v>99</v>
      </c>
      <c r="I871" t="str">
        <f t="shared" si="231"/>
        <v>0</v>
      </c>
      <c r="J871" t="str">
        <f t="shared" si="238"/>
        <v>00</v>
      </c>
      <c r="K871">
        <v>20150114</v>
      </c>
      <c r="L871" t="str">
        <f t="shared" si="240"/>
        <v>014700</v>
      </c>
      <c r="M871" t="str">
        <f t="shared" si="241"/>
        <v>00152</v>
      </c>
      <c r="N871" t="s">
        <v>413</v>
      </c>
      <c r="O871">
        <v>105.9</v>
      </c>
      <c r="Q871" t="s">
        <v>33</v>
      </c>
      <c r="R871" t="s">
        <v>34</v>
      </c>
      <c r="S871" t="s">
        <v>35</v>
      </c>
      <c r="T871" t="s">
        <v>35</v>
      </c>
      <c r="U871" t="s">
        <v>34</v>
      </c>
      <c r="V871" t="str">
        <f>""</f>
        <v/>
      </c>
      <c r="W871">
        <v>20150114</v>
      </c>
      <c r="X871" t="s">
        <v>185</v>
      </c>
      <c r="Y871" t="s">
        <v>631</v>
      </c>
      <c r="Z871" t="s">
        <v>631</v>
      </c>
      <c r="AA871">
        <v>0</v>
      </c>
      <c r="AB871" t="s">
        <v>142</v>
      </c>
      <c r="AC871" t="s">
        <v>143</v>
      </c>
      <c r="AD871" t="s">
        <v>40</v>
      </c>
      <c r="AE871" t="str">
        <f t="shared" si="237"/>
        <v>01</v>
      </c>
      <c r="AF871" t="s">
        <v>40</v>
      </c>
    </row>
    <row r="872" spans="1:32" x14ac:dyDescent="0.25">
      <c r="A872">
        <v>5</v>
      </c>
      <c r="B872">
        <v>420</v>
      </c>
      <c r="C872" t="str">
        <f t="shared" si="242"/>
        <v>51</v>
      </c>
      <c r="D872">
        <v>6319</v>
      </c>
      <c r="E872" t="str">
        <f t="shared" si="244"/>
        <v>00</v>
      </c>
      <c r="F872" t="str">
        <f t="shared" si="243"/>
        <v>999</v>
      </c>
      <c r="G872">
        <v>5</v>
      </c>
      <c r="H872" t="str">
        <f t="shared" si="239"/>
        <v>99</v>
      </c>
      <c r="I872" t="str">
        <f t="shared" si="231"/>
        <v>0</v>
      </c>
      <c r="J872" t="str">
        <f t="shared" si="238"/>
        <v>00</v>
      </c>
      <c r="K872">
        <v>20150114</v>
      </c>
      <c r="L872" t="str">
        <f t="shared" si="240"/>
        <v>014700</v>
      </c>
      <c r="M872" t="str">
        <f t="shared" si="241"/>
        <v>00152</v>
      </c>
      <c r="N872" t="s">
        <v>413</v>
      </c>
      <c r="O872">
        <v>245.16</v>
      </c>
      <c r="Q872" t="s">
        <v>33</v>
      </c>
      <c r="R872" t="s">
        <v>34</v>
      </c>
      <c r="S872" t="s">
        <v>35</v>
      </c>
      <c r="T872" t="s">
        <v>35</v>
      </c>
      <c r="U872" t="s">
        <v>34</v>
      </c>
      <c r="V872" t="str">
        <f>""</f>
        <v/>
      </c>
      <c r="W872">
        <v>20150114</v>
      </c>
      <c r="X872" t="s">
        <v>185</v>
      </c>
      <c r="Y872" t="s">
        <v>631</v>
      </c>
      <c r="Z872" t="s">
        <v>631</v>
      </c>
      <c r="AA872">
        <v>0</v>
      </c>
      <c r="AB872" t="s">
        <v>142</v>
      </c>
      <c r="AC872" t="s">
        <v>143</v>
      </c>
      <c r="AD872" t="s">
        <v>40</v>
      </c>
      <c r="AE872" t="str">
        <f t="shared" si="237"/>
        <v>01</v>
      </c>
      <c r="AF872" t="s">
        <v>40</v>
      </c>
    </row>
    <row r="873" spans="1:32" x14ac:dyDescent="0.25">
      <c r="A873">
        <v>5</v>
      </c>
      <c r="B873">
        <v>420</v>
      </c>
      <c r="C873" t="str">
        <f t="shared" si="242"/>
        <v>51</v>
      </c>
      <c r="D873">
        <v>6319</v>
      </c>
      <c r="E873" t="str">
        <f t="shared" si="244"/>
        <v>00</v>
      </c>
      <c r="F873" t="str">
        <f t="shared" si="243"/>
        <v>999</v>
      </c>
      <c r="G873">
        <v>5</v>
      </c>
      <c r="H873" t="str">
        <f t="shared" si="239"/>
        <v>99</v>
      </c>
      <c r="I873" t="str">
        <f t="shared" si="231"/>
        <v>0</v>
      </c>
      <c r="J873" t="str">
        <f t="shared" si="238"/>
        <v>00</v>
      </c>
      <c r="K873">
        <v>20150114</v>
      </c>
      <c r="L873" t="str">
        <f t="shared" si="240"/>
        <v>014700</v>
      </c>
      <c r="M873" t="str">
        <f t="shared" si="241"/>
        <v>00152</v>
      </c>
      <c r="N873" t="s">
        <v>413</v>
      </c>
      <c r="O873">
        <v>107.91</v>
      </c>
      <c r="Q873" t="s">
        <v>33</v>
      </c>
      <c r="R873" t="s">
        <v>34</v>
      </c>
      <c r="S873" t="s">
        <v>35</v>
      </c>
      <c r="T873" t="s">
        <v>35</v>
      </c>
      <c r="U873" t="s">
        <v>34</v>
      </c>
      <c r="V873" t="str">
        <f>""</f>
        <v/>
      </c>
      <c r="W873">
        <v>20150114</v>
      </c>
      <c r="X873" t="s">
        <v>185</v>
      </c>
      <c r="Y873" t="s">
        <v>631</v>
      </c>
      <c r="Z873" t="s">
        <v>631</v>
      </c>
      <c r="AA873">
        <v>0</v>
      </c>
      <c r="AB873" t="s">
        <v>142</v>
      </c>
      <c r="AC873" t="s">
        <v>143</v>
      </c>
      <c r="AD873" t="s">
        <v>40</v>
      </c>
      <c r="AE873" t="str">
        <f t="shared" si="237"/>
        <v>01</v>
      </c>
      <c r="AF873" t="s">
        <v>40</v>
      </c>
    </row>
    <row r="874" spans="1:32" x14ac:dyDescent="0.25">
      <c r="A874">
        <v>5</v>
      </c>
      <c r="B874">
        <v>420</v>
      </c>
      <c r="C874" t="str">
        <f t="shared" si="242"/>
        <v>51</v>
      </c>
      <c r="D874">
        <v>6319</v>
      </c>
      <c r="E874" t="str">
        <f t="shared" si="244"/>
        <v>00</v>
      </c>
      <c r="F874" t="str">
        <f t="shared" si="243"/>
        <v>999</v>
      </c>
      <c r="G874">
        <v>5</v>
      </c>
      <c r="H874" t="str">
        <f t="shared" si="239"/>
        <v>99</v>
      </c>
      <c r="I874" t="str">
        <f t="shared" si="231"/>
        <v>0</v>
      </c>
      <c r="J874" t="str">
        <f t="shared" si="238"/>
        <v>00</v>
      </c>
      <c r="K874">
        <v>20150114</v>
      </c>
      <c r="L874" t="str">
        <f t="shared" si="240"/>
        <v>014700</v>
      </c>
      <c r="M874" t="str">
        <f t="shared" si="241"/>
        <v>00152</v>
      </c>
      <c r="N874" t="s">
        <v>413</v>
      </c>
      <c r="O874">
        <v>14.16</v>
      </c>
      <c r="Q874" t="s">
        <v>33</v>
      </c>
      <c r="R874" t="s">
        <v>34</v>
      </c>
      <c r="S874" t="s">
        <v>35</v>
      </c>
      <c r="T874" t="s">
        <v>35</v>
      </c>
      <c r="U874" t="s">
        <v>34</v>
      </c>
      <c r="V874" t="str">
        <f>""</f>
        <v/>
      </c>
      <c r="W874">
        <v>20150114</v>
      </c>
      <c r="X874" t="s">
        <v>185</v>
      </c>
      <c r="Y874" t="s">
        <v>631</v>
      </c>
      <c r="Z874" t="s">
        <v>631</v>
      </c>
      <c r="AA874">
        <v>0</v>
      </c>
      <c r="AB874" t="s">
        <v>142</v>
      </c>
      <c r="AC874" t="s">
        <v>143</v>
      </c>
      <c r="AD874" t="s">
        <v>40</v>
      </c>
      <c r="AE874" t="str">
        <f t="shared" si="237"/>
        <v>01</v>
      </c>
      <c r="AF874" t="s">
        <v>40</v>
      </c>
    </row>
    <row r="875" spans="1:32" x14ac:dyDescent="0.25">
      <c r="A875">
        <v>5</v>
      </c>
      <c r="B875">
        <v>420</v>
      </c>
      <c r="C875" t="str">
        <f t="shared" si="242"/>
        <v>51</v>
      </c>
      <c r="D875">
        <v>6319</v>
      </c>
      <c r="E875" t="str">
        <f t="shared" si="244"/>
        <v>00</v>
      </c>
      <c r="F875" t="str">
        <f t="shared" si="243"/>
        <v>999</v>
      </c>
      <c r="G875">
        <v>5</v>
      </c>
      <c r="H875" t="str">
        <f t="shared" si="239"/>
        <v>99</v>
      </c>
      <c r="I875" t="str">
        <f t="shared" si="231"/>
        <v>0</v>
      </c>
      <c r="J875" t="str">
        <f t="shared" si="238"/>
        <v>00</v>
      </c>
      <c r="K875">
        <v>20150114</v>
      </c>
      <c r="L875" t="str">
        <f t="shared" si="240"/>
        <v>014700</v>
      </c>
      <c r="M875" t="str">
        <f t="shared" si="241"/>
        <v>00152</v>
      </c>
      <c r="N875" t="s">
        <v>413</v>
      </c>
      <c r="O875">
        <v>395.72</v>
      </c>
      <c r="Q875" t="s">
        <v>33</v>
      </c>
      <c r="R875" t="s">
        <v>34</v>
      </c>
      <c r="S875" t="s">
        <v>35</v>
      </c>
      <c r="T875" t="s">
        <v>35</v>
      </c>
      <c r="U875" t="s">
        <v>34</v>
      </c>
      <c r="V875" t="str">
        <f>""</f>
        <v/>
      </c>
      <c r="W875">
        <v>20150114</v>
      </c>
      <c r="X875" t="s">
        <v>185</v>
      </c>
      <c r="Y875" t="s">
        <v>631</v>
      </c>
      <c r="Z875" t="s">
        <v>631</v>
      </c>
      <c r="AA875">
        <v>0</v>
      </c>
      <c r="AB875" t="s">
        <v>142</v>
      </c>
      <c r="AC875" t="s">
        <v>143</v>
      </c>
      <c r="AD875" t="s">
        <v>40</v>
      </c>
      <c r="AE875" t="str">
        <f t="shared" si="237"/>
        <v>01</v>
      </c>
      <c r="AF875" t="s">
        <v>40</v>
      </c>
    </row>
    <row r="876" spans="1:32" x14ac:dyDescent="0.25">
      <c r="A876">
        <v>5</v>
      </c>
      <c r="B876">
        <v>420</v>
      </c>
      <c r="C876" t="str">
        <f t="shared" si="242"/>
        <v>51</v>
      </c>
      <c r="D876">
        <v>6319</v>
      </c>
      <c r="E876" t="str">
        <f t="shared" si="244"/>
        <v>00</v>
      </c>
      <c r="F876" t="str">
        <f t="shared" si="243"/>
        <v>999</v>
      </c>
      <c r="G876">
        <v>5</v>
      </c>
      <c r="H876" t="str">
        <f t="shared" si="239"/>
        <v>99</v>
      </c>
      <c r="I876" t="str">
        <f t="shared" si="231"/>
        <v>0</v>
      </c>
      <c r="J876" t="str">
        <f t="shared" si="238"/>
        <v>00</v>
      </c>
      <c r="K876">
        <v>20150114</v>
      </c>
      <c r="L876" t="str">
        <f t="shared" si="240"/>
        <v>014700</v>
      </c>
      <c r="M876" t="str">
        <f t="shared" si="241"/>
        <v>00152</v>
      </c>
      <c r="N876" t="s">
        <v>413</v>
      </c>
      <c r="O876">
        <v>300</v>
      </c>
      <c r="Q876" t="s">
        <v>33</v>
      </c>
      <c r="R876" t="s">
        <v>34</v>
      </c>
      <c r="S876" t="s">
        <v>35</v>
      </c>
      <c r="T876" t="s">
        <v>35</v>
      </c>
      <c r="U876" t="s">
        <v>34</v>
      </c>
      <c r="V876" t="str">
        <f>""</f>
        <v/>
      </c>
      <c r="W876">
        <v>20150114</v>
      </c>
      <c r="X876" t="s">
        <v>185</v>
      </c>
      <c r="Y876" t="s">
        <v>631</v>
      </c>
      <c r="Z876" t="s">
        <v>631</v>
      </c>
      <c r="AA876">
        <v>0</v>
      </c>
      <c r="AB876" t="s">
        <v>142</v>
      </c>
      <c r="AC876" t="s">
        <v>143</v>
      </c>
      <c r="AD876" t="s">
        <v>40</v>
      </c>
      <c r="AE876" t="str">
        <f t="shared" si="237"/>
        <v>01</v>
      </c>
      <c r="AF876" t="s">
        <v>40</v>
      </c>
    </row>
    <row r="877" spans="1:32" x14ac:dyDescent="0.25">
      <c r="A877">
        <v>5</v>
      </c>
      <c r="B877">
        <v>420</v>
      </c>
      <c r="C877" t="str">
        <f t="shared" si="242"/>
        <v>51</v>
      </c>
      <c r="D877">
        <v>6319</v>
      </c>
      <c r="E877" t="str">
        <f t="shared" si="244"/>
        <v>00</v>
      </c>
      <c r="F877" t="str">
        <f t="shared" si="243"/>
        <v>999</v>
      </c>
      <c r="G877">
        <v>5</v>
      </c>
      <c r="H877" t="str">
        <f t="shared" si="239"/>
        <v>99</v>
      </c>
      <c r="I877" t="str">
        <f t="shared" si="231"/>
        <v>0</v>
      </c>
      <c r="J877" t="str">
        <f t="shared" si="238"/>
        <v>00</v>
      </c>
      <c r="K877">
        <v>20150114</v>
      </c>
      <c r="L877" t="str">
        <f t="shared" si="240"/>
        <v>014700</v>
      </c>
      <c r="M877" t="str">
        <f t="shared" si="241"/>
        <v>00152</v>
      </c>
      <c r="N877" t="s">
        <v>413</v>
      </c>
      <c r="O877">
        <v>45.5</v>
      </c>
      <c r="Q877" t="s">
        <v>33</v>
      </c>
      <c r="R877" t="s">
        <v>34</v>
      </c>
      <c r="S877" t="s">
        <v>35</v>
      </c>
      <c r="T877" t="s">
        <v>35</v>
      </c>
      <c r="U877" t="s">
        <v>34</v>
      </c>
      <c r="V877" t="str">
        <f>""</f>
        <v/>
      </c>
      <c r="W877">
        <v>20150114</v>
      </c>
      <c r="X877" t="s">
        <v>185</v>
      </c>
      <c r="Y877" t="s">
        <v>631</v>
      </c>
      <c r="Z877" t="s">
        <v>631</v>
      </c>
      <c r="AA877">
        <v>0</v>
      </c>
      <c r="AB877" t="s">
        <v>142</v>
      </c>
      <c r="AC877" t="s">
        <v>143</v>
      </c>
      <c r="AD877" t="s">
        <v>40</v>
      </c>
      <c r="AE877" t="str">
        <f t="shared" si="237"/>
        <v>01</v>
      </c>
      <c r="AF877" t="s">
        <v>40</v>
      </c>
    </row>
    <row r="878" spans="1:32" x14ac:dyDescent="0.25">
      <c r="A878">
        <v>5</v>
      </c>
      <c r="B878">
        <v>420</v>
      </c>
      <c r="C878" t="str">
        <f t="shared" si="242"/>
        <v>51</v>
      </c>
      <c r="D878">
        <v>6319</v>
      </c>
      <c r="E878" t="str">
        <f t="shared" si="244"/>
        <v>00</v>
      </c>
      <c r="F878" t="str">
        <f t="shared" si="243"/>
        <v>999</v>
      </c>
      <c r="G878">
        <v>5</v>
      </c>
      <c r="H878" t="str">
        <f t="shared" si="239"/>
        <v>99</v>
      </c>
      <c r="I878" t="str">
        <f t="shared" si="231"/>
        <v>0</v>
      </c>
      <c r="J878" t="str">
        <f t="shared" si="238"/>
        <v>00</v>
      </c>
      <c r="K878">
        <v>20150114</v>
      </c>
      <c r="L878" t="str">
        <f t="shared" si="240"/>
        <v>014700</v>
      </c>
      <c r="M878" t="str">
        <f t="shared" si="241"/>
        <v>00152</v>
      </c>
      <c r="N878" t="s">
        <v>413</v>
      </c>
      <c r="O878">
        <v>-18.920000000000002</v>
      </c>
      <c r="Q878" t="s">
        <v>33</v>
      </c>
      <c r="R878" t="s">
        <v>34</v>
      </c>
      <c r="S878" t="s">
        <v>35</v>
      </c>
      <c r="T878" t="s">
        <v>35</v>
      </c>
      <c r="U878" t="s">
        <v>34</v>
      </c>
      <c r="V878" t="s">
        <v>110</v>
      </c>
      <c r="W878">
        <v>20150114</v>
      </c>
      <c r="X878" t="s">
        <v>185</v>
      </c>
      <c r="Y878" t="s">
        <v>632</v>
      </c>
      <c r="Z878" t="s">
        <v>632</v>
      </c>
      <c r="AA878">
        <v>0</v>
      </c>
      <c r="AB878" t="s">
        <v>142</v>
      </c>
      <c r="AC878" t="s">
        <v>143</v>
      </c>
      <c r="AD878" t="s">
        <v>112</v>
      </c>
      <c r="AE878" t="str">
        <f t="shared" si="237"/>
        <v>01</v>
      </c>
      <c r="AF878" t="s">
        <v>40</v>
      </c>
    </row>
    <row r="879" spans="1:32" x14ac:dyDescent="0.25">
      <c r="A879">
        <v>5</v>
      </c>
      <c r="B879">
        <v>420</v>
      </c>
      <c r="C879" t="str">
        <f t="shared" si="242"/>
        <v>51</v>
      </c>
      <c r="D879">
        <v>6249</v>
      </c>
      <c r="E879" t="str">
        <f t="shared" si="244"/>
        <v>00</v>
      </c>
      <c r="F879" t="str">
        <f t="shared" si="243"/>
        <v>999</v>
      </c>
      <c r="G879">
        <v>5</v>
      </c>
      <c r="H879" t="str">
        <f t="shared" si="239"/>
        <v>99</v>
      </c>
      <c r="I879" t="str">
        <f t="shared" si="231"/>
        <v>0</v>
      </c>
      <c r="J879" t="str">
        <f t="shared" si="238"/>
        <v>00</v>
      </c>
      <c r="K879">
        <v>20150114</v>
      </c>
      <c r="L879" t="str">
        <f>"014701"</f>
        <v>014701</v>
      </c>
      <c r="M879" t="str">
        <f>"00172"</f>
        <v>00172</v>
      </c>
      <c r="N879" t="s">
        <v>313</v>
      </c>
      <c r="O879" s="1">
        <v>2200</v>
      </c>
      <c r="Q879" t="s">
        <v>33</v>
      </c>
      <c r="R879" t="s">
        <v>34</v>
      </c>
      <c r="S879" t="s">
        <v>35</v>
      </c>
      <c r="T879" t="s">
        <v>35</v>
      </c>
      <c r="U879" t="s">
        <v>34</v>
      </c>
      <c r="V879" t="str">
        <f>""</f>
        <v/>
      </c>
      <c r="W879">
        <v>20150108</v>
      </c>
      <c r="X879" t="s">
        <v>314</v>
      </c>
      <c r="Y879" t="s">
        <v>204</v>
      </c>
      <c r="Z879" t="s">
        <v>204</v>
      </c>
      <c r="AA879">
        <v>0</v>
      </c>
      <c r="AB879" t="s">
        <v>142</v>
      </c>
      <c r="AC879" t="s">
        <v>143</v>
      </c>
      <c r="AD879" t="s">
        <v>40</v>
      </c>
      <c r="AE879" t="str">
        <f t="shared" si="237"/>
        <v>01</v>
      </c>
      <c r="AF879" t="s">
        <v>40</v>
      </c>
    </row>
    <row r="880" spans="1:32" x14ac:dyDescent="0.25">
      <c r="A880">
        <v>5</v>
      </c>
      <c r="B880">
        <v>211</v>
      </c>
      <c r="C880" t="str">
        <f>"11"</f>
        <v>11</v>
      </c>
      <c r="D880">
        <v>6399</v>
      </c>
      <c r="E880" t="str">
        <f t="shared" si="244"/>
        <v>00</v>
      </c>
      <c r="F880" t="str">
        <f>"101"</f>
        <v>101</v>
      </c>
      <c r="G880">
        <v>5</v>
      </c>
      <c r="H880" t="str">
        <f>"30"</f>
        <v>30</v>
      </c>
      <c r="I880" t="str">
        <f t="shared" si="231"/>
        <v>0</v>
      </c>
      <c r="J880" t="str">
        <f t="shared" si="238"/>
        <v>00</v>
      </c>
      <c r="K880">
        <v>20150114</v>
      </c>
      <c r="L880" t="str">
        <f>"014702"</f>
        <v>014702</v>
      </c>
      <c r="M880" t="str">
        <f>"00200"</f>
        <v>00200</v>
      </c>
      <c r="N880" t="s">
        <v>569</v>
      </c>
      <c r="O880">
        <v>707.78</v>
      </c>
      <c r="Q880" t="s">
        <v>33</v>
      </c>
      <c r="R880" t="s">
        <v>34</v>
      </c>
      <c r="S880" t="s">
        <v>35</v>
      </c>
      <c r="T880" t="s">
        <v>35</v>
      </c>
      <c r="U880" t="s">
        <v>34</v>
      </c>
      <c r="V880" t="str">
        <f>""</f>
        <v/>
      </c>
      <c r="W880">
        <v>20150108</v>
      </c>
      <c r="X880" t="s">
        <v>422</v>
      </c>
      <c r="Y880" t="s">
        <v>633</v>
      </c>
      <c r="Z880" t="s">
        <v>633</v>
      </c>
      <c r="AA880">
        <v>0</v>
      </c>
      <c r="AB880" t="s">
        <v>174</v>
      </c>
      <c r="AC880" t="s">
        <v>41</v>
      </c>
      <c r="AD880" t="s">
        <v>40</v>
      </c>
      <c r="AE880" t="str">
        <f t="shared" si="237"/>
        <v>01</v>
      </c>
      <c r="AF880" t="s">
        <v>40</v>
      </c>
    </row>
    <row r="881" spans="1:32" x14ac:dyDescent="0.25">
      <c r="A881">
        <v>5</v>
      </c>
      <c r="B881">
        <v>211</v>
      </c>
      <c r="C881" t="str">
        <f>"11"</f>
        <v>11</v>
      </c>
      <c r="D881">
        <v>6399</v>
      </c>
      <c r="E881" t="str">
        <f t="shared" si="244"/>
        <v>00</v>
      </c>
      <c r="F881" t="str">
        <f>"101"</f>
        <v>101</v>
      </c>
      <c r="G881">
        <v>5</v>
      </c>
      <c r="H881" t="str">
        <f>"30"</f>
        <v>30</v>
      </c>
      <c r="I881" t="str">
        <f t="shared" si="231"/>
        <v>0</v>
      </c>
      <c r="J881" t="str">
        <f t="shared" si="238"/>
        <v>00</v>
      </c>
      <c r="K881">
        <v>20150114</v>
      </c>
      <c r="L881" t="str">
        <f>"014702"</f>
        <v>014702</v>
      </c>
      <c r="M881" t="str">
        <f>"00200"</f>
        <v>00200</v>
      </c>
      <c r="N881" t="s">
        <v>569</v>
      </c>
      <c r="O881">
        <v>514</v>
      </c>
      <c r="Q881" t="s">
        <v>33</v>
      </c>
      <c r="R881" t="s">
        <v>34</v>
      </c>
      <c r="S881" t="s">
        <v>35</v>
      </c>
      <c r="T881" t="s">
        <v>35</v>
      </c>
      <c r="U881" t="s">
        <v>34</v>
      </c>
      <c r="V881" t="str">
        <f>""</f>
        <v/>
      </c>
      <c r="W881">
        <v>20150112</v>
      </c>
      <c r="X881" t="s">
        <v>422</v>
      </c>
      <c r="Y881" t="s">
        <v>634</v>
      </c>
      <c r="Z881" t="s">
        <v>634</v>
      </c>
      <c r="AA881">
        <v>0</v>
      </c>
      <c r="AB881" t="s">
        <v>174</v>
      </c>
      <c r="AC881" t="s">
        <v>41</v>
      </c>
      <c r="AD881" t="s">
        <v>40</v>
      </c>
      <c r="AE881" t="str">
        <f t="shared" si="237"/>
        <v>01</v>
      </c>
      <c r="AF881" t="s">
        <v>40</v>
      </c>
    </row>
    <row r="882" spans="1:32" x14ac:dyDescent="0.25">
      <c r="A882">
        <v>5</v>
      </c>
      <c r="B882">
        <v>420</v>
      </c>
      <c r="C882" t="str">
        <f>"11"</f>
        <v>11</v>
      </c>
      <c r="D882">
        <v>6269</v>
      </c>
      <c r="E882" t="str">
        <f t="shared" si="244"/>
        <v>00</v>
      </c>
      <c r="F882" t="str">
        <f t="shared" ref="F882:F891" si="245">"999"</f>
        <v>999</v>
      </c>
      <c r="G882">
        <v>5</v>
      </c>
      <c r="H882" t="str">
        <f>"11"</f>
        <v>11</v>
      </c>
      <c r="I882" t="str">
        <f t="shared" si="231"/>
        <v>0</v>
      </c>
      <c r="J882" t="str">
        <f t="shared" si="238"/>
        <v>00</v>
      </c>
      <c r="K882">
        <v>20150114</v>
      </c>
      <c r="L882" t="str">
        <f>"014703"</f>
        <v>014703</v>
      </c>
      <c r="M882" t="str">
        <f>"00218"</f>
        <v>00218</v>
      </c>
      <c r="N882" t="s">
        <v>230</v>
      </c>
      <c r="O882">
        <v>136.25</v>
      </c>
      <c r="Q882" t="s">
        <v>33</v>
      </c>
      <c r="R882" t="s">
        <v>34</v>
      </c>
      <c r="S882" t="s">
        <v>35</v>
      </c>
      <c r="T882" t="s">
        <v>35</v>
      </c>
      <c r="U882" t="s">
        <v>34</v>
      </c>
      <c r="V882" t="str">
        <f>""</f>
        <v/>
      </c>
      <c r="W882">
        <v>20150112</v>
      </c>
      <c r="X882" t="s">
        <v>213</v>
      </c>
      <c r="Y882" t="s">
        <v>231</v>
      </c>
      <c r="Z882" t="s">
        <v>231</v>
      </c>
      <c r="AA882">
        <v>0</v>
      </c>
      <c r="AB882" t="s">
        <v>142</v>
      </c>
      <c r="AC882" t="s">
        <v>143</v>
      </c>
      <c r="AD882" t="s">
        <v>40</v>
      </c>
      <c r="AE882" t="str">
        <f t="shared" si="237"/>
        <v>01</v>
      </c>
      <c r="AF882" t="s">
        <v>40</v>
      </c>
    </row>
    <row r="883" spans="1:32" x14ac:dyDescent="0.25">
      <c r="A883">
        <v>5</v>
      </c>
      <c r="B883">
        <v>240</v>
      </c>
      <c r="C883" t="str">
        <f t="shared" ref="C883:C888" si="246">"35"</f>
        <v>35</v>
      </c>
      <c r="D883">
        <v>6341</v>
      </c>
      <c r="E883" t="str">
        <f t="shared" si="244"/>
        <v>00</v>
      </c>
      <c r="F883" t="str">
        <f t="shared" si="245"/>
        <v>999</v>
      </c>
      <c r="G883">
        <v>5</v>
      </c>
      <c r="H883" t="str">
        <f t="shared" ref="H883:H891" si="247">"99"</f>
        <v>99</v>
      </c>
      <c r="I883" t="str">
        <f t="shared" si="231"/>
        <v>0</v>
      </c>
      <c r="J883" t="str">
        <f t="shared" si="238"/>
        <v>00</v>
      </c>
      <c r="K883">
        <v>20150114</v>
      </c>
      <c r="L883" t="str">
        <f t="shared" ref="L883:L888" si="248">"014704"</f>
        <v>014704</v>
      </c>
      <c r="M883" t="str">
        <f t="shared" ref="M883:M888" si="249">"00410"</f>
        <v>00410</v>
      </c>
      <c r="N883" t="s">
        <v>324</v>
      </c>
      <c r="O883">
        <v>444.6</v>
      </c>
      <c r="Q883" t="s">
        <v>33</v>
      </c>
      <c r="R883" t="s">
        <v>34</v>
      </c>
      <c r="S883" t="s">
        <v>35</v>
      </c>
      <c r="T883" t="s">
        <v>35</v>
      </c>
      <c r="U883" t="s">
        <v>34</v>
      </c>
      <c r="V883" t="str">
        <f>""</f>
        <v/>
      </c>
      <c r="W883">
        <v>20150108</v>
      </c>
      <c r="X883" t="s">
        <v>268</v>
      </c>
      <c r="Y883" t="s">
        <v>573</v>
      </c>
      <c r="Z883" t="s">
        <v>573</v>
      </c>
      <c r="AA883">
        <v>0</v>
      </c>
      <c r="AB883" t="s">
        <v>238</v>
      </c>
      <c r="AC883" t="s">
        <v>143</v>
      </c>
      <c r="AD883" t="s">
        <v>40</v>
      </c>
      <c r="AE883" t="str">
        <f t="shared" si="237"/>
        <v>01</v>
      </c>
      <c r="AF883" t="s">
        <v>40</v>
      </c>
    </row>
    <row r="884" spans="1:32" x14ac:dyDescent="0.25">
      <c r="A884">
        <v>5</v>
      </c>
      <c r="B884">
        <v>240</v>
      </c>
      <c r="C884" t="str">
        <f t="shared" si="246"/>
        <v>35</v>
      </c>
      <c r="D884">
        <v>6341</v>
      </c>
      <c r="E884" t="str">
        <f t="shared" si="244"/>
        <v>00</v>
      </c>
      <c r="F884" t="str">
        <f t="shared" si="245"/>
        <v>999</v>
      </c>
      <c r="G884">
        <v>5</v>
      </c>
      <c r="H884" t="str">
        <f t="shared" si="247"/>
        <v>99</v>
      </c>
      <c r="I884" t="str">
        <f t="shared" si="231"/>
        <v>0</v>
      </c>
      <c r="J884" t="str">
        <f t="shared" si="238"/>
        <v>00</v>
      </c>
      <c r="K884">
        <v>20150114</v>
      </c>
      <c r="L884" t="str">
        <f t="shared" si="248"/>
        <v>014704</v>
      </c>
      <c r="M884" t="str">
        <f t="shared" si="249"/>
        <v>00410</v>
      </c>
      <c r="N884" t="s">
        <v>324</v>
      </c>
      <c r="O884">
        <v>395.2</v>
      </c>
      <c r="Q884" t="s">
        <v>33</v>
      </c>
      <c r="R884" t="s">
        <v>34</v>
      </c>
      <c r="S884" t="s">
        <v>35</v>
      </c>
      <c r="T884" t="s">
        <v>35</v>
      </c>
      <c r="U884" t="s">
        <v>34</v>
      </c>
      <c r="V884" t="str">
        <f>""</f>
        <v/>
      </c>
      <c r="W884">
        <v>20150108</v>
      </c>
      <c r="X884" t="s">
        <v>268</v>
      </c>
      <c r="Y884" t="s">
        <v>573</v>
      </c>
      <c r="Z884" t="s">
        <v>573</v>
      </c>
      <c r="AA884">
        <v>0</v>
      </c>
      <c r="AB884" t="s">
        <v>238</v>
      </c>
      <c r="AC884" t="s">
        <v>143</v>
      </c>
      <c r="AD884" t="s">
        <v>40</v>
      </c>
      <c r="AE884" t="str">
        <f t="shared" si="237"/>
        <v>01</v>
      </c>
      <c r="AF884" t="s">
        <v>40</v>
      </c>
    </row>
    <row r="885" spans="1:32" x14ac:dyDescent="0.25">
      <c r="A885">
        <v>5</v>
      </c>
      <c r="B885">
        <v>240</v>
      </c>
      <c r="C885" t="str">
        <f t="shared" si="246"/>
        <v>35</v>
      </c>
      <c r="D885">
        <v>6341</v>
      </c>
      <c r="E885" t="str">
        <f t="shared" si="244"/>
        <v>00</v>
      </c>
      <c r="F885" t="str">
        <f t="shared" si="245"/>
        <v>999</v>
      </c>
      <c r="G885">
        <v>5</v>
      </c>
      <c r="H885" t="str">
        <f t="shared" si="247"/>
        <v>99</v>
      </c>
      <c r="I885" t="str">
        <f t="shared" si="231"/>
        <v>0</v>
      </c>
      <c r="J885" t="str">
        <f t="shared" si="238"/>
        <v>00</v>
      </c>
      <c r="K885">
        <v>20150114</v>
      </c>
      <c r="L885" t="str">
        <f t="shared" si="248"/>
        <v>014704</v>
      </c>
      <c r="M885" t="str">
        <f t="shared" si="249"/>
        <v>00410</v>
      </c>
      <c r="N885" t="s">
        <v>324</v>
      </c>
      <c r="O885">
        <v>395.2</v>
      </c>
      <c r="Q885" t="s">
        <v>33</v>
      </c>
      <c r="R885" t="s">
        <v>34</v>
      </c>
      <c r="S885" t="s">
        <v>35</v>
      </c>
      <c r="T885" t="s">
        <v>35</v>
      </c>
      <c r="U885" t="s">
        <v>34</v>
      </c>
      <c r="V885" t="str">
        <f>""</f>
        <v/>
      </c>
      <c r="W885">
        <v>20150108</v>
      </c>
      <c r="X885" t="s">
        <v>268</v>
      </c>
      <c r="Y885" t="s">
        <v>573</v>
      </c>
      <c r="Z885" t="s">
        <v>573</v>
      </c>
      <c r="AA885">
        <v>0</v>
      </c>
      <c r="AB885" t="s">
        <v>238</v>
      </c>
      <c r="AC885" t="s">
        <v>143</v>
      </c>
      <c r="AD885" t="s">
        <v>40</v>
      </c>
      <c r="AE885" t="str">
        <f t="shared" si="237"/>
        <v>01</v>
      </c>
      <c r="AF885" t="s">
        <v>40</v>
      </c>
    </row>
    <row r="886" spans="1:32" x14ac:dyDescent="0.25">
      <c r="A886">
        <v>5</v>
      </c>
      <c r="B886">
        <v>240</v>
      </c>
      <c r="C886" t="str">
        <f t="shared" si="246"/>
        <v>35</v>
      </c>
      <c r="D886">
        <v>6341</v>
      </c>
      <c r="E886" t="str">
        <f t="shared" si="244"/>
        <v>00</v>
      </c>
      <c r="F886" t="str">
        <f t="shared" si="245"/>
        <v>999</v>
      </c>
      <c r="G886">
        <v>5</v>
      </c>
      <c r="H886" t="str">
        <f t="shared" si="247"/>
        <v>99</v>
      </c>
      <c r="I886" t="str">
        <f t="shared" si="231"/>
        <v>0</v>
      </c>
      <c r="J886" t="str">
        <f t="shared" si="238"/>
        <v>00</v>
      </c>
      <c r="K886">
        <v>20150114</v>
      </c>
      <c r="L886" t="str">
        <f t="shared" si="248"/>
        <v>014704</v>
      </c>
      <c r="M886" t="str">
        <f t="shared" si="249"/>
        <v>00410</v>
      </c>
      <c r="N886" t="s">
        <v>324</v>
      </c>
      <c r="O886">
        <v>444.6</v>
      </c>
      <c r="Q886" t="s">
        <v>33</v>
      </c>
      <c r="R886" t="s">
        <v>34</v>
      </c>
      <c r="S886" t="s">
        <v>35</v>
      </c>
      <c r="T886" t="s">
        <v>35</v>
      </c>
      <c r="U886" t="s">
        <v>34</v>
      </c>
      <c r="V886" t="str">
        <f>""</f>
        <v/>
      </c>
      <c r="W886">
        <v>20150108</v>
      </c>
      <c r="X886" t="s">
        <v>268</v>
      </c>
      <c r="Y886" t="s">
        <v>573</v>
      </c>
      <c r="Z886" t="s">
        <v>573</v>
      </c>
      <c r="AA886">
        <v>0</v>
      </c>
      <c r="AB886" t="s">
        <v>238</v>
      </c>
      <c r="AC886" t="s">
        <v>143</v>
      </c>
      <c r="AD886" t="s">
        <v>40</v>
      </c>
      <c r="AE886" t="str">
        <f t="shared" si="237"/>
        <v>01</v>
      </c>
      <c r="AF886" t="s">
        <v>40</v>
      </c>
    </row>
    <row r="887" spans="1:32" x14ac:dyDescent="0.25">
      <c r="A887">
        <v>5</v>
      </c>
      <c r="B887">
        <v>240</v>
      </c>
      <c r="C887" t="str">
        <f t="shared" si="246"/>
        <v>35</v>
      </c>
      <c r="D887">
        <v>6341</v>
      </c>
      <c r="E887" t="str">
        <f t="shared" si="244"/>
        <v>00</v>
      </c>
      <c r="F887" t="str">
        <f t="shared" si="245"/>
        <v>999</v>
      </c>
      <c r="G887">
        <v>5</v>
      </c>
      <c r="H887" t="str">
        <f t="shared" si="247"/>
        <v>99</v>
      </c>
      <c r="I887" t="str">
        <f t="shared" si="231"/>
        <v>0</v>
      </c>
      <c r="J887" t="str">
        <f t="shared" si="238"/>
        <v>00</v>
      </c>
      <c r="K887">
        <v>20150114</v>
      </c>
      <c r="L887" t="str">
        <f t="shared" si="248"/>
        <v>014704</v>
      </c>
      <c r="M887" t="str">
        <f t="shared" si="249"/>
        <v>00410</v>
      </c>
      <c r="N887" t="s">
        <v>324</v>
      </c>
      <c r="O887">
        <v>444.6</v>
      </c>
      <c r="Q887" t="s">
        <v>33</v>
      </c>
      <c r="R887" t="s">
        <v>34</v>
      </c>
      <c r="S887" t="s">
        <v>35</v>
      </c>
      <c r="T887" t="s">
        <v>35</v>
      </c>
      <c r="U887" t="s">
        <v>34</v>
      </c>
      <c r="V887" t="str">
        <f>""</f>
        <v/>
      </c>
      <c r="W887">
        <v>20150108</v>
      </c>
      <c r="X887" t="s">
        <v>268</v>
      </c>
      <c r="Y887" t="s">
        <v>573</v>
      </c>
      <c r="Z887" t="s">
        <v>573</v>
      </c>
      <c r="AA887">
        <v>0</v>
      </c>
      <c r="AB887" t="s">
        <v>238</v>
      </c>
      <c r="AC887" t="s">
        <v>143</v>
      </c>
      <c r="AD887" t="s">
        <v>40</v>
      </c>
      <c r="AE887" t="str">
        <f t="shared" si="237"/>
        <v>01</v>
      </c>
      <c r="AF887" t="s">
        <v>40</v>
      </c>
    </row>
    <row r="888" spans="1:32" x14ac:dyDescent="0.25">
      <c r="A888">
        <v>5</v>
      </c>
      <c r="B888">
        <v>240</v>
      </c>
      <c r="C888" t="str">
        <f t="shared" si="246"/>
        <v>35</v>
      </c>
      <c r="D888">
        <v>6341</v>
      </c>
      <c r="E888" t="str">
        <f t="shared" si="244"/>
        <v>00</v>
      </c>
      <c r="F888" t="str">
        <f t="shared" si="245"/>
        <v>999</v>
      </c>
      <c r="G888">
        <v>5</v>
      </c>
      <c r="H888" t="str">
        <f t="shared" si="247"/>
        <v>99</v>
      </c>
      <c r="I888" t="str">
        <f t="shared" si="231"/>
        <v>0</v>
      </c>
      <c r="J888" t="str">
        <f t="shared" si="238"/>
        <v>00</v>
      </c>
      <c r="K888">
        <v>20150114</v>
      </c>
      <c r="L888" t="str">
        <f t="shared" si="248"/>
        <v>014704</v>
      </c>
      <c r="M888" t="str">
        <f t="shared" si="249"/>
        <v>00410</v>
      </c>
      <c r="N888" t="s">
        <v>324</v>
      </c>
      <c r="O888">
        <v>456.95</v>
      </c>
      <c r="Q888" t="s">
        <v>33</v>
      </c>
      <c r="R888" t="s">
        <v>34</v>
      </c>
      <c r="S888" t="s">
        <v>35</v>
      </c>
      <c r="T888" t="s">
        <v>35</v>
      </c>
      <c r="U888" t="s">
        <v>34</v>
      </c>
      <c r="V888" t="str">
        <f>""</f>
        <v/>
      </c>
      <c r="W888">
        <v>20150108</v>
      </c>
      <c r="X888" t="s">
        <v>268</v>
      </c>
      <c r="Y888" t="s">
        <v>573</v>
      </c>
      <c r="Z888" t="s">
        <v>573</v>
      </c>
      <c r="AA888">
        <v>0</v>
      </c>
      <c r="AB888" t="s">
        <v>238</v>
      </c>
      <c r="AC888" t="s">
        <v>143</v>
      </c>
      <c r="AD888" t="s">
        <v>40</v>
      </c>
      <c r="AE888" t="str">
        <f t="shared" si="237"/>
        <v>01</v>
      </c>
      <c r="AF888" t="s">
        <v>40</v>
      </c>
    </row>
    <row r="889" spans="1:32" x14ac:dyDescent="0.25">
      <c r="A889">
        <v>5</v>
      </c>
      <c r="B889">
        <v>420</v>
      </c>
      <c r="C889" t="str">
        <f>"51"</f>
        <v>51</v>
      </c>
      <c r="D889">
        <v>6319</v>
      </c>
      <c r="E889" t="str">
        <f t="shared" si="244"/>
        <v>00</v>
      </c>
      <c r="F889" t="str">
        <f t="shared" si="245"/>
        <v>999</v>
      </c>
      <c r="G889">
        <v>5</v>
      </c>
      <c r="H889" t="str">
        <f t="shared" si="247"/>
        <v>99</v>
      </c>
      <c r="I889" t="str">
        <f t="shared" si="231"/>
        <v>0</v>
      </c>
      <c r="J889" t="str">
        <f t="shared" si="238"/>
        <v>00</v>
      </c>
      <c r="K889">
        <v>20150114</v>
      </c>
      <c r="L889" t="str">
        <f>"014705"</f>
        <v>014705</v>
      </c>
      <c r="M889" t="str">
        <f>"00248"</f>
        <v>00248</v>
      </c>
      <c r="N889" t="s">
        <v>345</v>
      </c>
      <c r="O889">
        <v>403.9</v>
      </c>
      <c r="Q889" t="s">
        <v>33</v>
      </c>
      <c r="R889" t="s">
        <v>34</v>
      </c>
      <c r="S889" t="s">
        <v>35</v>
      </c>
      <c r="T889" t="s">
        <v>35</v>
      </c>
      <c r="U889" t="s">
        <v>34</v>
      </c>
      <c r="V889" t="str">
        <f>""</f>
        <v/>
      </c>
      <c r="W889">
        <v>20150109</v>
      </c>
      <c r="X889" t="s">
        <v>185</v>
      </c>
      <c r="Y889" t="s">
        <v>346</v>
      </c>
      <c r="Z889" t="s">
        <v>346</v>
      </c>
      <c r="AA889">
        <v>0</v>
      </c>
      <c r="AB889" t="s">
        <v>142</v>
      </c>
      <c r="AC889" t="s">
        <v>143</v>
      </c>
      <c r="AD889" t="s">
        <v>40</v>
      </c>
      <c r="AE889" t="str">
        <f t="shared" si="237"/>
        <v>01</v>
      </c>
      <c r="AF889" t="s">
        <v>40</v>
      </c>
    </row>
    <row r="890" spans="1:32" x14ac:dyDescent="0.25">
      <c r="A890">
        <v>5</v>
      </c>
      <c r="B890">
        <v>420</v>
      </c>
      <c r="C890" t="str">
        <f>"51"</f>
        <v>51</v>
      </c>
      <c r="D890">
        <v>6319</v>
      </c>
      <c r="E890" t="str">
        <f t="shared" si="244"/>
        <v>00</v>
      </c>
      <c r="F890" t="str">
        <f t="shared" si="245"/>
        <v>999</v>
      </c>
      <c r="G890">
        <v>5</v>
      </c>
      <c r="H890" t="str">
        <f t="shared" si="247"/>
        <v>99</v>
      </c>
      <c r="I890" t="str">
        <f t="shared" si="231"/>
        <v>0</v>
      </c>
      <c r="J890" t="str">
        <f t="shared" si="238"/>
        <v>00</v>
      </c>
      <c r="K890">
        <v>20150114</v>
      </c>
      <c r="L890" t="str">
        <f>"014705"</f>
        <v>014705</v>
      </c>
      <c r="M890" t="str">
        <f>"00248"</f>
        <v>00248</v>
      </c>
      <c r="N890" t="s">
        <v>345</v>
      </c>
      <c r="O890" s="1">
        <v>1878.21</v>
      </c>
      <c r="Q890" t="s">
        <v>33</v>
      </c>
      <c r="R890" t="s">
        <v>34</v>
      </c>
      <c r="S890" t="s">
        <v>35</v>
      </c>
      <c r="T890" t="s">
        <v>35</v>
      </c>
      <c r="U890" t="s">
        <v>34</v>
      </c>
      <c r="V890" t="str">
        <f>""</f>
        <v/>
      </c>
      <c r="W890">
        <v>20150109</v>
      </c>
      <c r="X890" t="s">
        <v>185</v>
      </c>
      <c r="Y890" t="s">
        <v>346</v>
      </c>
      <c r="Z890" t="s">
        <v>346</v>
      </c>
      <c r="AA890">
        <v>0</v>
      </c>
      <c r="AB890" t="s">
        <v>142</v>
      </c>
      <c r="AC890" t="s">
        <v>143</v>
      </c>
      <c r="AD890" t="s">
        <v>40</v>
      </c>
      <c r="AE890" t="str">
        <f t="shared" si="237"/>
        <v>01</v>
      </c>
      <c r="AF890" t="s">
        <v>40</v>
      </c>
    </row>
    <row r="891" spans="1:32" x14ac:dyDescent="0.25">
      <c r="A891">
        <v>5</v>
      </c>
      <c r="B891">
        <v>420</v>
      </c>
      <c r="C891" t="str">
        <f>"51"</f>
        <v>51</v>
      </c>
      <c r="D891">
        <v>6319</v>
      </c>
      <c r="E891" t="str">
        <f t="shared" si="244"/>
        <v>00</v>
      </c>
      <c r="F891" t="str">
        <f t="shared" si="245"/>
        <v>999</v>
      </c>
      <c r="G891">
        <v>5</v>
      </c>
      <c r="H891" t="str">
        <f t="shared" si="247"/>
        <v>99</v>
      </c>
      <c r="I891" t="str">
        <f t="shared" si="231"/>
        <v>0</v>
      </c>
      <c r="J891" t="str">
        <f t="shared" si="238"/>
        <v>00</v>
      </c>
      <c r="K891">
        <v>20150114</v>
      </c>
      <c r="L891" t="str">
        <f>"014706"</f>
        <v>014706</v>
      </c>
      <c r="M891" t="str">
        <f>"00818"</f>
        <v>00818</v>
      </c>
      <c r="N891" t="s">
        <v>635</v>
      </c>
      <c r="O891" s="1">
        <v>5675</v>
      </c>
      <c r="Q891" t="s">
        <v>33</v>
      </c>
      <c r="R891" t="s">
        <v>34</v>
      </c>
      <c r="S891" t="s">
        <v>35</v>
      </c>
      <c r="T891" t="s">
        <v>35</v>
      </c>
      <c r="U891" t="s">
        <v>34</v>
      </c>
      <c r="V891" t="str">
        <f>""</f>
        <v/>
      </c>
      <c r="W891">
        <v>20150109</v>
      </c>
      <c r="X891" t="s">
        <v>185</v>
      </c>
      <c r="Y891" t="s">
        <v>636</v>
      </c>
      <c r="Z891" t="s">
        <v>636</v>
      </c>
      <c r="AA891">
        <v>0</v>
      </c>
      <c r="AB891" t="s">
        <v>142</v>
      </c>
      <c r="AC891" t="s">
        <v>143</v>
      </c>
      <c r="AD891" t="s">
        <v>40</v>
      </c>
      <c r="AE891" t="str">
        <f t="shared" si="237"/>
        <v>01</v>
      </c>
      <c r="AF891" t="s">
        <v>40</v>
      </c>
    </row>
    <row r="892" spans="1:32" x14ac:dyDescent="0.25">
      <c r="A892">
        <v>5</v>
      </c>
      <c r="B892">
        <v>420</v>
      </c>
      <c r="C892" t="str">
        <f>"13"</f>
        <v>13</v>
      </c>
      <c r="D892">
        <v>6399</v>
      </c>
      <c r="E892" t="str">
        <f t="shared" si="244"/>
        <v>00</v>
      </c>
      <c r="F892" t="str">
        <f>"101"</f>
        <v>101</v>
      </c>
      <c r="G892">
        <v>5</v>
      </c>
      <c r="H892" t="str">
        <f>"11"</f>
        <v>11</v>
      </c>
      <c r="I892" t="str">
        <f t="shared" si="231"/>
        <v>0</v>
      </c>
      <c r="J892" t="str">
        <f t="shared" si="238"/>
        <v>00</v>
      </c>
      <c r="K892">
        <v>20150114</v>
      </c>
      <c r="L892" t="str">
        <f>"014707"</f>
        <v>014707</v>
      </c>
      <c r="M892" t="str">
        <f>"00256"</f>
        <v>00256</v>
      </c>
      <c r="N892" t="s">
        <v>416</v>
      </c>
      <c r="O892" s="1">
        <v>1707.36</v>
      </c>
      <c r="Q892" t="s">
        <v>33</v>
      </c>
      <c r="R892" t="s">
        <v>34</v>
      </c>
      <c r="S892" t="s">
        <v>35</v>
      </c>
      <c r="T892" t="s">
        <v>35</v>
      </c>
      <c r="U892" t="s">
        <v>34</v>
      </c>
      <c r="V892" t="str">
        <f>""</f>
        <v/>
      </c>
      <c r="W892">
        <v>20150114</v>
      </c>
      <c r="X892" t="s">
        <v>393</v>
      </c>
      <c r="Y892" t="s">
        <v>637</v>
      </c>
      <c r="Z892" t="s">
        <v>637</v>
      </c>
      <c r="AA892">
        <v>0</v>
      </c>
      <c r="AB892" t="s">
        <v>142</v>
      </c>
      <c r="AC892" t="s">
        <v>41</v>
      </c>
      <c r="AD892" t="s">
        <v>40</v>
      </c>
      <c r="AE892" t="str">
        <f t="shared" si="237"/>
        <v>01</v>
      </c>
      <c r="AF892" t="s">
        <v>40</v>
      </c>
    </row>
    <row r="893" spans="1:32" x14ac:dyDescent="0.25">
      <c r="A893">
        <v>5</v>
      </c>
      <c r="B893">
        <v>420</v>
      </c>
      <c r="C893" t="str">
        <f>"51"</f>
        <v>51</v>
      </c>
      <c r="D893">
        <v>6259</v>
      </c>
      <c r="E893" t="str">
        <f>"50"</f>
        <v>50</v>
      </c>
      <c r="F893" t="str">
        <f t="shared" ref="F893:F902" si="250">"999"</f>
        <v>999</v>
      </c>
      <c r="G893">
        <v>5</v>
      </c>
      <c r="H893" t="str">
        <f t="shared" ref="H893:H902" si="251">"99"</f>
        <v>99</v>
      </c>
      <c r="I893" t="str">
        <f t="shared" si="231"/>
        <v>0</v>
      </c>
      <c r="J893" t="str">
        <f t="shared" si="238"/>
        <v>00</v>
      </c>
      <c r="K893">
        <v>20150114</v>
      </c>
      <c r="L893" t="str">
        <f>"014708"</f>
        <v>014708</v>
      </c>
      <c r="M893" t="str">
        <f>"00162"</f>
        <v>00162</v>
      </c>
      <c r="N893" t="s">
        <v>242</v>
      </c>
      <c r="O893">
        <v>690.14</v>
      </c>
      <c r="Q893" t="s">
        <v>33</v>
      </c>
      <c r="R893" t="s">
        <v>34</v>
      </c>
      <c r="S893" t="s">
        <v>35</v>
      </c>
      <c r="T893" t="s">
        <v>35</v>
      </c>
      <c r="U893" t="s">
        <v>34</v>
      </c>
      <c r="V893" t="str">
        <f>""</f>
        <v/>
      </c>
      <c r="W893">
        <v>20150109</v>
      </c>
      <c r="X893" t="s">
        <v>374</v>
      </c>
      <c r="Y893" t="s">
        <v>375</v>
      </c>
      <c r="Z893" t="s">
        <v>375</v>
      </c>
      <c r="AA893">
        <v>0</v>
      </c>
      <c r="AB893" t="s">
        <v>142</v>
      </c>
      <c r="AC893" t="s">
        <v>143</v>
      </c>
      <c r="AD893" t="s">
        <v>40</v>
      </c>
      <c r="AE893" t="str">
        <f t="shared" si="237"/>
        <v>01</v>
      </c>
      <c r="AF893" t="s">
        <v>40</v>
      </c>
    </row>
    <row r="894" spans="1:32" x14ac:dyDescent="0.25">
      <c r="A894">
        <v>5</v>
      </c>
      <c r="B894">
        <v>420</v>
      </c>
      <c r="C894" t="str">
        <f>"51"</f>
        <v>51</v>
      </c>
      <c r="D894">
        <v>6259</v>
      </c>
      <c r="E894" t="str">
        <f>"55"</f>
        <v>55</v>
      </c>
      <c r="F894" t="str">
        <f t="shared" si="250"/>
        <v>999</v>
      </c>
      <c r="G894">
        <v>5</v>
      </c>
      <c r="H894" t="str">
        <f t="shared" si="251"/>
        <v>99</v>
      </c>
      <c r="I894" t="str">
        <f t="shared" si="231"/>
        <v>0</v>
      </c>
      <c r="J894" t="str">
        <f t="shared" si="238"/>
        <v>00</v>
      </c>
      <c r="K894">
        <v>20150114</v>
      </c>
      <c r="L894" t="str">
        <f>"014709"</f>
        <v>014709</v>
      </c>
      <c r="M894" t="str">
        <f>"00306"</f>
        <v>00306</v>
      </c>
      <c r="N894" t="s">
        <v>245</v>
      </c>
      <c r="O894">
        <v>301.45999999999998</v>
      </c>
      <c r="Q894" t="s">
        <v>33</v>
      </c>
      <c r="R894" t="s">
        <v>34</v>
      </c>
      <c r="S894" t="s">
        <v>35</v>
      </c>
      <c r="T894" t="s">
        <v>35</v>
      </c>
      <c r="U894" t="s">
        <v>34</v>
      </c>
      <c r="V894" t="str">
        <f>""</f>
        <v/>
      </c>
      <c r="W894">
        <v>20150108</v>
      </c>
      <c r="X894" t="s">
        <v>243</v>
      </c>
      <c r="Y894" t="s">
        <v>244</v>
      </c>
      <c r="Z894" t="s">
        <v>244</v>
      </c>
      <c r="AA894">
        <v>0</v>
      </c>
      <c r="AB894" t="s">
        <v>142</v>
      </c>
      <c r="AC894" t="s">
        <v>143</v>
      </c>
      <c r="AD894" t="s">
        <v>40</v>
      </c>
      <c r="AE894" t="str">
        <f t="shared" si="237"/>
        <v>01</v>
      </c>
      <c r="AF894" t="s">
        <v>40</v>
      </c>
    </row>
    <row r="895" spans="1:32" x14ac:dyDescent="0.25">
      <c r="A895">
        <v>5</v>
      </c>
      <c r="B895">
        <v>420</v>
      </c>
      <c r="C895" t="str">
        <f>"51"</f>
        <v>51</v>
      </c>
      <c r="D895">
        <v>6259</v>
      </c>
      <c r="E895" t="str">
        <f>"55"</f>
        <v>55</v>
      </c>
      <c r="F895" t="str">
        <f t="shared" si="250"/>
        <v>999</v>
      </c>
      <c r="G895">
        <v>5</v>
      </c>
      <c r="H895" t="str">
        <f t="shared" si="251"/>
        <v>99</v>
      </c>
      <c r="I895" t="str">
        <f t="shared" si="231"/>
        <v>0</v>
      </c>
      <c r="J895" t="str">
        <f t="shared" si="238"/>
        <v>00</v>
      </c>
      <c r="K895">
        <v>20150114</v>
      </c>
      <c r="L895" t="str">
        <f>"014709"</f>
        <v>014709</v>
      </c>
      <c r="M895" t="str">
        <f>"00306"</f>
        <v>00306</v>
      </c>
      <c r="N895" t="s">
        <v>245</v>
      </c>
      <c r="O895">
        <v>217.14</v>
      </c>
      <c r="Q895" t="s">
        <v>33</v>
      </c>
      <c r="R895" t="s">
        <v>34</v>
      </c>
      <c r="S895" t="s">
        <v>35</v>
      </c>
      <c r="T895" t="s">
        <v>35</v>
      </c>
      <c r="U895" t="s">
        <v>34</v>
      </c>
      <c r="V895" t="str">
        <f>""</f>
        <v/>
      </c>
      <c r="W895">
        <v>20150108</v>
      </c>
      <c r="X895" t="s">
        <v>243</v>
      </c>
      <c r="Y895" t="s">
        <v>244</v>
      </c>
      <c r="Z895" t="s">
        <v>244</v>
      </c>
      <c r="AA895">
        <v>0</v>
      </c>
      <c r="AB895" t="s">
        <v>142</v>
      </c>
      <c r="AC895" t="s">
        <v>143</v>
      </c>
      <c r="AD895" t="s">
        <v>40</v>
      </c>
      <c r="AE895" t="str">
        <f t="shared" si="237"/>
        <v>01</v>
      </c>
      <c r="AF895" t="s">
        <v>40</v>
      </c>
    </row>
    <row r="896" spans="1:32" x14ac:dyDescent="0.25">
      <c r="A896">
        <v>5</v>
      </c>
      <c r="B896">
        <v>420</v>
      </c>
      <c r="C896" t="str">
        <f>"51"</f>
        <v>51</v>
      </c>
      <c r="D896">
        <v>6259</v>
      </c>
      <c r="E896" t="str">
        <f>"55"</f>
        <v>55</v>
      </c>
      <c r="F896" t="str">
        <f t="shared" si="250"/>
        <v>999</v>
      </c>
      <c r="G896">
        <v>5</v>
      </c>
      <c r="H896" t="str">
        <f t="shared" si="251"/>
        <v>99</v>
      </c>
      <c r="I896" t="str">
        <f t="shared" si="231"/>
        <v>0</v>
      </c>
      <c r="J896" t="str">
        <f t="shared" si="238"/>
        <v>00</v>
      </c>
      <c r="K896">
        <v>20150114</v>
      </c>
      <c r="L896" t="str">
        <f>"014709"</f>
        <v>014709</v>
      </c>
      <c r="M896" t="str">
        <f>"00306"</f>
        <v>00306</v>
      </c>
      <c r="N896" t="s">
        <v>245</v>
      </c>
      <c r="O896">
        <v>46.45</v>
      </c>
      <c r="Q896" t="s">
        <v>33</v>
      </c>
      <c r="R896" t="s">
        <v>34</v>
      </c>
      <c r="S896" t="s">
        <v>35</v>
      </c>
      <c r="T896" t="s">
        <v>35</v>
      </c>
      <c r="U896" t="s">
        <v>34</v>
      </c>
      <c r="V896" t="str">
        <f>""</f>
        <v/>
      </c>
      <c r="W896">
        <v>20150108</v>
      </c>
      <c r="X896" t="s">
        <v>243</v>
      </c>
      <c r="Y896" t="s">
        <v>244</v>
      </c>
      <c r="Z896" t="s">
        <v>244</v>
      </c>
      <c r="AA896">
        <v>0</v>
      </c>
      <c r="AB896" t="s">
        <v>142</v>
      </c>
      <c r="AC896" t="s">
        <v>143</v>
      </c>
      <c r="AD896" t="s">
        <v>40</v>
      </c>
      <c r="AE896" t="str">
        <f t="shared" si="237"/>
        <v>01</v>
      </c>
      <c r="AF896" t="s">
        <v>40</v>
      </c>
    </row>
    <row r="897" spans="1:32" x14ac:dyDescent="0.25">
      <c r="A897">
        <v>5</v>
      </c>
      <c r="B897">
        <v>420</v>
      </c>
      <c r="C897" t="str">
        <f>"34"</f>
        <v>34</v>
      </c>
      <c r="D897">
        <v>6311</v>
      </c>
      <c r="E897" t="str">
        <f t="shared" ref="E897:E910" si="252">"00"</f>
        <v>00</v>
      </c>
      <c r="F897" t="str">
        <f t="shared" si="250"/>
        <v>999</v>
      </c>
      <c r="G897">
        <v>5</v>
      </c>
      <c r="H897" t="str">
        <f t="shared" si="251"/>
        <v>99</v>
      </c>
      <c r="I897" t="str">
        <f t="shared" si="231"/>
        <v>0</v>
      </c>
      <c r="J897" t="str">
        <f t="shared" si="238"/>
        <v>00</v>
      </c>
      <c r="K897">
        <v>20150114</v>
      </c>
      <c r="L897" t="str">
        <f>"014710"</f>
        <v>014710</v>
      </c>
      <c r="M897" t="str">
        <f>"00532"</f>
        <v>00532</v>
      </c>
      <c r="N897" t="s">
        <v>300</v>
      </c>
      <c r="O897" s="1">
        <v>2790.36</v>
      </c>
      <c r="Q897" t="s">
        <v>33</v>
      </c>
      <c r="R897" t="s">
        <v>34</v>
      </c>
      <c r="S897" t="s">
        <v>35</v>
      </c>
      <c r="T897" t="s">
        <v>35</v>
      </c>
      <c r="U897" t="s">
        <v>34</v>
      </c>
      <c r="V897" t="str">
        <f>""</f>
        <v/>
      </c>
      <c r="W897">
        <v>20150112</v>
      </c>
      <c r="X897" t="s">
        <v>301</v>
      </c>
      <c r="Y897" t="s">
        <v>638</v>
      </c>
      <c r="Z897" t="s">
        <v>638</v>
      </c>
      <c r="AA897">
        <v>0</v>
      </c>
      <c r="AB897" t="s">
        <v>142</v>
      </c>
      <c r="AC897" t="s">
        <v>143</v>
      </c>
      <c r="AD897" t="s">
        <v>40</v>
      </c>
      <c r="AE897" t="str">
        <f t="shared" si="237"/>
        <v>01</v>
      </c>
      <c r="AF897" t="s">
        <v>40</v>
      </c>
    </row>
    <row r="898" spans="1:32" x14ac:dyDescent="0.25">
      <c r="A898">
        <v>5</v>
      </c>
      <c r="B898">
        <v>420</v>
      </c>
      <c r="C898" t="str">
        <f>"51"</f>
        <v>51</v>
      </c>
      <c r="D898">
        <v>6269</v>
      </c>
      <c r="E898" t="str">
        <f t="shared" si="252"/>
        <v>00</v>
      </c>
      <c r="F898" t="str">
        <f t="shared" si="250"/>
        <v>999</v>
      </c>
      <c r="G898">
        <v>5</v>
      </c>
      <c r="H898" t="str">
        <f t="shared" si="251"/>
        <v>99</v>
      </c>
      <c r="I898" t="str">
        <f t="shared" ref="I898:I961" si="253">"0"</f>
        <v>0</v>
      </c>
      <c r="J898" t="str">
        <f t="shared" si="238"/>
        <v>00</v>
      </c>
      <c r="K898">
        <v>20150114</v>
      </c>
      <c r="L898" t="str">
        <f>"014711"</f>
        <v>014711</v>
      </c>
      <c r="M898" t="str">
        <f>"00668"</f>
        <v>00668</v>
      </c>
      <c r="N898" t="s">
        <v>249</v>
      </c>
      <c r="O898">
        <v>195.5</v>
      </c>
      <c r="Q898" t="s">
        <v>33</v>
      </c>
      <c r="R898" t="s">
        <v>34</v>
      </c>
      <c r="S898" t="s">
        <v>35</v>
      </c>
      <c r="T898" t="s">
        <v>35</v>
      </c>
      <c r="U898" t="s">
        <v>34</v>
      </c>
      <c r="V898" t="str">
        <f>""</f>
        <v/>
      </c>
      <c r="W898">
        <v>20150108</v>
      </c>
      <c r="X898" t="s">
        <v>225</v>
      </c>
      <c r="Y898" t="s">
        <v>549</v>
      </c>
      <c r="Z898" t="s">
        <v>549</v>
      </c>
      <c r="AA898">
        <v>0</v>
      </c>
      <c r="AB898" t="s">
        <v>142</v>
      </c>
      <c r="AC898" t="s">
        <v>143</v>
      </c>
      <c r="AD898" t="s">
        <v>40</v>
      </c>
      <c r="AE898" t="str">
        <f t="shared" si="237"/>
        <v>01</v>
      </c>
      <c r="AF898" t="s">
        <v>40</v>
      </c>
    </row>
    <row r="899" spans="1:32" x14ac:dyDescent="0.25">
      <c r="A899">
        <v>5</v>
      </c>
      <c r="B899">
        <v>240</v>
      </c>
      <c r="C899" t="str">
        <f>"35"</f>
        <v>35</v>
      </c>
      <c r="D899">
        <v>6299</v>
      </c>
      <c r="E899" t="str">
        <f t="shared" si="252"/>
        <v>00</v>
      </c>
      <c r="F899" t="str">
        <f t="shared" si="250"/>
        <v>999</v>
      </c>
      <c r="G899">
        <v>5</v>
      </c>
      <c r="H899" t="str">
        <f t="shared" si="251"/>
        <v>99</v>
      </c>
      <c r="I899" t="str">
        <f t="shared" si="253"/>
        <v>0</v>
      </c>
      <c r="J899" t="str">
        <f t="shared" si="238"/>
        <v>00</v>
      </c>
      <c r="K899">
        <v>20150114</v>
      </c>
      <c r="L899" t="str">
        <f>"014712"</f>
        <v>014712</v>
      </c>
      <c r="M899" t="str">
        <f>"00577"</f>
        <v>00577</v>
      </c>
      <c r="N899" t="s">
        <v>251</v>
      </c>
      <c r="O899">
        <v>39.04</v>
      </c>
      <c r="Q899" t="s">
        <v>33</v>
      </c>
      <c r="R899" t="s">
        <v>34</v>
      </c>
      <c r="S899" t="s">
        <v>35</v>
      </c>
      <c r="T899" t="s">
        <v>35</v>
      </c>
      <c r="U899" t="s">
        <v>34</v>
      </c>
      <c r="V899" t="str">
        <f>""</f>
        <v/>
      </c>
      <c r="W899">
        <v>20150108</v>
      </c>
      <c r="X899" t="s">
        <v>252</v>
      </c>
      <c r="Y899" t="s">
        <v>253</v>
      </c>
      <c r="Z899" t="s">
        <v>253</v>
      </c>
      <c r="AA899">
        <v>0</v>
      </c>
      <c r="AB899" t="s">
        <v>238</v>
      </c>
      <c r="AC899" t="s">
        <v>143</v>
      </c>
      <c r="AD899" t="s">
        <v>40</v>
      </c>
      <c r="AE899" t="str">
        <f t="shared" si="237"/>
        <v>01</v>
      </c>
      <c r="AF899" t="s">
        <v>40</v>
      </c>
    </row>
    <row r="900" spans="1:32" x14ac:dyDescent="0.25">
      <c r="A900">
        <v>5</v>
      </c>
      <c r="B900">
        <v>420</v>
      </c>
      <c r="C900" t="str">
        <f>"51"</f>
        <v>51</v>
      </c>
      <c r="D900">
        <v>6299</v>
      </c>
      <c r="E900" t="str">
        <f t="shared" si="252"/>
        <v>00</v>
      </c>
      <c r="F900" t="str">
        <f t="shared" si="250"/>
        <v>999</v>
      </c>
      <c r="G900">
        <v>5</v>
      </c>
      <c r="H900" t="str">
        <f t="shared" si="251"/>
        <v>99</v>
      </c>
      <c r="I900" t="str">
        <f t="shared" si="253"/>
        <v>0</v>
      </c>
      <c r="J900" t="str">
        <f t="shared" si="238"/>
        <v>00</v>
      </c>
      <c r="K900">
        <v>20150114</v>
      </c>
      <c r="L900" t="str">
        <f>"014712"</f>
        <v>014712</v>
      </c>
      <c r="M900" t="str">
        <f>"00577"</f>
        <v>00577</v>
      </c>
      <c r="N900" t="s">
        <v>251</v>
      </c>
      <c r="O900">
        <v>63.72</v>
      </c>
      <c r="Q900" t="s">
        <v>33</v>
      </c>
      <c r="R900" t="s">
        <v>34</v>
      </c>
      <c r="S900" t="s">
        <v>35</v>
      </c>
      <c r="T900" t="s">
        <v>35</v>
      </c>
      <c r="U900" t="s">
        <v>34</v>
      </c>
      <c r="V900" t="str">
        <f>""</f>
        <v/>
      </c>
      <c r="W900">
        <v>20150109</v>
      </c>
      <c r="X900" t="s">
        <v>203</v>
      </c>
      <c r="Y900" t="s">
        <v>253</v>
      </c>
      <c r="Z900" t="s">
        <v>253</v>
      </c>
      <c r="AA900">
        <v>0</v>
      </c>
      <c r="AB900" t="s">
        <v>142</v>
      </c>
      <c r="AC900" t="s">
        <v>143</v>
      </c>
      <c r="AD900" t="s">
        <v>40</v>
      </c>
      <c r="AE900" t="str">
        <f t="shared" si="237"/>
        <v>01</v>
      </c>
      <c r="AF900" t="s">
        <v>40</v>
      </c>
    </row>
    <row r="901" spans="1:32" x14ac:dyDescent="0.25">
      <c r="A901">
        <v>5</v>
      </c>
      <c r="B901">
        <v>420</v>
      </c>
      <c r="C901" t="str">
        <f>"34"</f>
        <v>34</v>
      </c>
      <c r="D901">
        <v>6513</v>
      </c>
      <c r="E901" t="str">
        <f t="shared" si="252"/>
        <v>00</v>
      </c>
      <c r="F901" t="str">
        <f t="shared" si="250"/>
        <v>999</v>
      </c>
      <c r="G901">
        <v>5</v>
      </c>
      <c r="H901" t="str">
        <f t="shared" si="251"/>
        <v>99</v>
      </c>
      <c r="I901" t="str">
        <f t="shared" si="253"/>
        <v>0</v>
      </c>
      <c r="J901" t="str">
        <f t="shared" si="238"/>
        <v>00</v>
      </c>
      <c r="K901">
        <v>20150114</v>
      </c>
      <c r="L901" t="str">
        <f>"014713"</f>
        <v>014713</v>
      </c>
      <c r="M901" t="str">
        <f>"00520"</f>
        <v>00520</v>
      </c>
      <c r="N901" t="s">
        <v>329</v>
      </c>
      <c r="O901" s="1">
        <v>1351.47</v>
      </c>
      <c r="Q901" t="s">
        <v>33</v>
      </c>
      <c r="R901" t="s">
        <v>34</v>
      </c>
      <c r="S901" t="s">
        <v>35</v>
      </c>
      <c r="T901" t="s">
        <v>35</v>
      </c>
      <c r="U901" t="s">
        <v>34</v>
      </c>
      <c r="V901" t="str">
        <f>""</f>
        <v/>
      </c>
      <c r="W901">
        <v>20150112</v>
      </c>
      <c r="X901" t="s">
        <v>330</v>
      </c>
      <c r="Y901" t="s">
        <v>639</v>
      </c>
      <c r="Z901" t="s">
        <v>639</v>
      </c>
      <c r="AA901">
        <v>0</v>
      </c>
      <c r="AB901" t="s">
        <v>142</v>
      </c>
      <c r="AC901" t="s">
        <v>143</v>
      </c>
      <c r="AD901" t="s">
        <v>40</v>
      </c>
      <c r="AE901" t="str">
        <f t="shared" si="237"/>
        <v>01</v>
      </c>
      <c r="AF901" t="s">
        <v>40</v>
      </c>
    </row>
    <row r="902" spans="1:32" x14ac:dyDescent="0.25">
      <c r="A902">
        <v>5</v>
      </c>
      <c r="B902">
        <v>420</v>
      </c>
      <c r="C902" t="str">
        <f>"34"</f>
        <v>34</v>
      </c>
      <c r="D902">
        <v>6523</v>
      </c>
      <c r="E902" t="str">
        <f t="shared" si="252"/>
        <v>00</v>
      </c>
      <c r="F902" t="str">
        <f t="shared" si="250"/>
        <v>999</v>
      </c>
      <c r="G902">
        <v>5</v>
      </c>
      <c r="H902" t="str">
        <f t="shared" si="251"/>
        <v>99</v>
      </c>
      <c r="I902" t="str">
        <f t="shared" si="253"/>
        <v>0</v>
      </c>
      <c r="J902" t="str">
        <f t="shared" si="238"/>
        <v>00</v>
      </c>
      <c r="K902">
        <v>20150114</v>
      </c>
      <c r="L902" t="str">
        <f>"014713"</f>
        <v>014713</v>
      </c>
      <c r="M902" t="str">
        <f>"00520"</f>
        <v>00520</v>
      </c>
      <c r="N902" t="s">
        <v>329</v>
      </c>
      <c r="O902">
        <v>363.95</v>
      </c>
      <c r="Q902" t="s">
        <v>33</v>
      </c>
      <c r="R902" t="s">
        <v>34</v>
      </c>
      <c r="S902" t="s">
        <v>35</v>
      </c>
      <c r="T902" t="s">
        <v>35</v>
      </c>
      <c r="U902" t="s">
        <v>34</v>
      </c>
      <c r="V902" t="str">
        <f>""</f>
        <v/>
      </c>
      <c r="W902">
        <v>20150112</v>
      </c>
      <c r="X902" t="s">
        <v>640</v>
      </c>
      <c r="Y902" t="s">
        <v>639</v>
      </c>
      <c r="Z902" t="s">
        <v>639</v>
      </c>
      <c r="AA902">
        <v>0</v>
      </c>
      <c r="AB902" t="s">
        <v>142</v>
      </c>
      <c r="AC902" t="s">
        <v>143</v>
      </c>
      <c r="AD902" t="s">
        <v>40</v>
      </c>
      <c r="AE902" t="str">
        <f t="shared" si="237"/>
        <v>01</v>
      </c>
      <c r="AF902" t="s">
        <v>40</v>
      </c>
    </row>
    <row r="903" spans="1:32" x14ac:dyDescent="0.25">
      <c r="A903">
        <v>5</v>
      </c>
      <c r="B903">
        <v>211</v>
      </c>
      <c r="C903" t="str">
        <f>"11"</f>
        <v>11</v>
      </c>
      <c r="D903">
        <v>6399</v>
      </c>
      <c r="E903" t="str">
        <f t="shared" si="252"/>
        <v>00</v>
      </c>
      <c r="F903" t="str">
        <f>"101"</f>
        <v>101</v>
      </c>
      <c r="G903">
        <v>5</v>
      </c>
      <c r="H903" t="str">
        <f>"30"</f>
        <v>30</v>
      </c>
      <c r="I903" t="str">
        <f t="shared" si="253"/>
        <v>0</v>
      </c>
      <c r="J903" t="str">
        <f t="shared" si="238"/>
        <v>00</v>
      </c>
      <c r="K903">
        <v>20150114</v>
      </c>
      <c r="L903" t="str">
        <f>"014714"</f>
        <v>014714</v>
      </c>
      <c r="M903" t="str">
        <f>"00548"</f>
        <v>00548</v>
      </c>
      <c r="N903" t="s">
        <v>167</v>
      </c>
      <c r="O903" s="1">
        <v>2330.87</v>
      </c>
      <c r="Q903" t="s">
        <v>33</v>
      </c>
      <c r="R903" t="s">
        <v>34</v>
      </c>
      <c r="S903" t="s">
        <v>35</v>
      </c>
      <c r="T903" t="s">
        <v>35</v>
      </c>
      <c r="U903" t="s">
        <v>34</v>
      </c>
      <c r="V903" t="str">
        <f>""</f>
        <v/>
      </c>
      <c r="W903">
        <v>20150109</v>
      </c>
      <c r="X903" t="s">
        <v>422</v>
      </c>
      <c r="Y903" t="s">
        <v>641</v>
      </c>
      <c r="Z903" t="s">
        <v>641</v>
      </c>
      <c r="AA903">
        <v>0</v>
      </c>
      <c r="AB903" t="s">
        <v>174</v>
      </c>
      <c r="AC903" t="s">
        <v>41</v>
      </c>
      <c r="AD903" t="s">
        <v>40</v>
      </c>
      <c r="AE903" t="str">
        <f t="shared" si="237"/>
        <v>01</v>
      </c>
      <c r="AF903" t="s">
        <v>40</v>
      </c>
    </row>
    <row r="904" spans="1:32" x14ac:dyDescent="0.25">
      <c r="A904">
        <v>5</v>
      </c>
      <c r="B904">
        <v>420</v>
      </c>
      <c r="C904" t="str">
        <f>"41"</f>
        <v>41</v>
      </c>
      <c r="D904">
        <v>6499</v>
      </c>
      <c r="E904" t="str">
        <f t="shared" si="252"/>
        <v>00</v>
      </c>
      <c r="F904" t="str">
        <f>"750"</f>
        <v>750</v>
      </c>
      <c r="G904">
        <v>5</v>
      </c>
      <c r="H904" t="str">
        <f>"99"</f>
        <v>99</v>
      </c>
      <c r="I904" t="str">
        <f t="shared" si="253"/>
        <v>0</v>
      </c>
      <c r="J904" t="str">
        <f t="shared" si="238"/>
        <v>00</v>
      </c>
      <c r="K904">
        <v>20150114</v>
      </c>
      <c r="L904" t="str">
        <f>"014714"</f>
        <v>014714</v>
      </c>
      <c r="M904" t="str">
        <f>"00548"</f>
        <v>00548</v>
      </c>
      <c r="N904" t="s">
        <v>167</v>
      </c>
      <c r="O904">
        <v>37.39</v>
      </c>
      <c r="Q904" t="s">
        <v>33</v>
      </c>
      <c r="R904" t="s">
        <v>34</v>
      </c>
      <c r="S904" t="s">
        <v>35</v>
      </c>
      <c r="T904" t="s">
        <v>35</v>
      </c>
      <c r="U904" t="s">
        <v>34</v>
      </c>
      <c r="V904" t="str">
        <f>""</f>
        <v/>
      </c>
      <c r="W904">
        <v>20150109</v>
      </c>
      <c r="X904" t="s">
        <v>168</v>
      </c>
      <c r="Y904" t="s">
        <v>626</v>
      </c>
      <c r="Z904" t="s">
        <v>626</v>
      </c>
      <c r="AA904">
        <v>0</v>
      </c>
      <c r="AB904" t="s">
        <v>142</v>
      </c>
      <c r="AC904" t="s">
        <v>170</v>
      </c>
      <c r="AD904" t="s">
        <v>40</v>
      </c>
      <c r="AE904" t="str">
        <f t="shared" si="237"/>
        <v>01</v>
      </c>
      <c r="AF904" t="s">
        <v>40</v>
      </c>
    </row>
    <row r="905" spans="1:32" x14ac:dyDescent="0.25">
      <c r="A905">
        <v>5</v>
      </c>
      <c r="B905">
        <v>420</v>
      </c>
      <c r="C905" t="str">
        <f>"11"</f>
        <v>11</v>
      </c>
      <c r="D905">
        <v>6269</v>
      </c>
      <c r="E905" t="str">
        <f t="shared" si="252"/>
        <v>00</v>
      </c>
      <c r="F905" t="str">
        <f t="shared" ref="F905:F911" si="254">"999"</f>
        <v>999</v>
      </c>
      <c r="G905">
        <v>5</v>
      </c>
      <c r="H905" t="str">
        <f>"11"</f>
        <v>11</v>
      </c>
      <c r="I905" t="str">
        <f t="shared" si="253"/>
        <v>0</v>
      </c>
      <c r="J905" t="str">
        <f t="shared" si="238"/>
        <v>00</v>
      </c>
      <c r="K905">
        <v>20150123</v>
      </c>
      <c r="L905" t="str">
        <f>"014715"</f>
        <v>014715</v>
      </c>
      <c r="M905" t="str">
        <f>"00036"</f>
        <v>00036</v>
      </c>
      <c r="N905" t="s">
        <v>642</v>
      </c>
      <c r="O905">
        <v>750</v>
      </c>
      <c r="Q905" t="s">
        <v>33</v>
      </c>
      <c r="R905" t="s">
        <v>34</v>
      </c>
      <c r="S905" t="s">
        <v>35</v>
      </c>
      <c r="T905" t="s">
        <v>35</v>
      </c>
      <c r="U905" t="s">
        <v>34</v>
      </c>
      <c r="V905" t="str">
        <f>""</f>
        <v/>
      </c>
      <c r="W905">
        <v>20150121</v>
      </c>
      <c r="X905" t="s">
        <v>213</v>
      </c>
      <c r="Y905" t="s">
        <v>643</v>
      </c>
      <c r="Z905" t="s">
        <v>643</v>
      </c>
      <c r="AA905">
        <v>0</v>
      </c>
      <c r="AB905" t="s">
        <v>142</v>
      </c>
      <c r="AC905" t="s">
        <v>143</v>
      </c>
      <c r="AD905" t="s">
        <v>40</v>
      </c>
      <c r="AE905" t="str">
        <f t="shared" si="237"/>
        <v>01</v>
      </c>
      <c r="AF905" t="s">
        <v>40</v>
      </c>
    </row>
    <row r="906" spans="1:32" x14ac:dyDescent="0.25">
      <c r="A906">
        <v>5</v>
      </c>
      <c r="B906">
        <v>420</v>
      </c>
      <c r="C906" t="str">
        <f>"11"</f>
        <v>11</v>
      </c>
      <c r="D906">
        <v>6269</v>
      </c>
      <c r="E906" t="str">
        <f t="shared" si="252"/>
        <v>00</v>
      </c>
      <c r="F906" t="str">
        <f t="shared" si="254"/>
        <v>999</v>
      </c>
      <c r="G906">
        <v>5</v>
      </c>
      <c r="H906" t="str">
        <f>"11"</f>
        <v>11</v>
      </c>
      <c r="I906" t="str">
        <f t="shared" si="253"/>
        <v>0</v>
      </c>
      <c r="J906" t="str">
        <f t="shared" si="238"/>
        <v>00</v>
      </c>
      <c r="K906">
        <v>20150123</v>
      </c>
      <c r="L906" t="str">
        <f>"014716"</f>
        <v>014716</v>
      </c>
      <c r="M906" t="str">
        <f>"00628"</f>
        <v>00628</v>
      </c>
      <c r="N906" t="s">
        <v>212</v>
      </c>
      <c r="O906" s="1">
        <v>1753.61</v>
      </c>
      <c r="Q906" t="s">
        <v>33</v>
      </c>
      <c r="R906" t="s">
        <v>34</v>
      </c>
      <c r="S906" t="s">
        <v>35</v>
      </c>
      <c r="T906" t="s">
        <v>35</v>
      </c>
      <c r="U906" t="s">
        <v>34</v>
      </c>
      <c r="V906" t="str">
        <f>""</f>
        <v/>
      </c>
      <c r="W906">
        <v>20150121</v>
      </c>
      <c r="X906" t="s">
        <v>213</v>
      </c>
      <c r="Y906" t="s">
        <v>231</v>
      </c>
      <c r="Z906" t="s">
        <v>231</v>
      </c>
      <c r="AA906">
        <v>0</v>
      </c>
      <c r="AB906" t="s">
        <v>142</v>
      </c>
      <c r="AC906" t="s">
        <v>143</v>
      </c>
      <c r="AD906" t="s">
        <v>40</v>
      </c>
      <c r="AE906" t="str">
        <f t="shared" si="237"/>
        <v>01</v>
      </c>
      <c r="AF906" t="s">
        <v>40</v>
      </c>
    </row>
    <row r="907" spans="1:32" x14ac:dyDescent="0.25">
      <c r="A907">
        <v>5</v>
      </c>
      <c r="B907">
        <v>420</v>
      </c>
      <c r="C907" t="str">
        <f>"51"</f>
        <v>51</v>
      </c>
      <c r="D907">
        <v>6319</v>
      </c>
      <c r="E907" t="str">
        <f t="shared" si="252"/>
        <v>00</v>
      </c>
      <c r="F907" t="str">
        <f t="shared" si="254"/>
        <v>999</v>
      </c>
      <c r="G907">
        <v>5</v>
      </c>
      <c r="H907" t="str">
        <f>"99"</f>
        <v>99</v>
      </c>
      <c r="I907" t="str">
        <f t="shared" si="253"/>
        <v>0</v>
      </c>
      <c r="J907" t="str">
        <f t="shared" si="238"/>
        <v>00</v>
      </c>
      <c r="K907">
        <v>20150123</v>
      </c>
      <c r="L907" t="str">
        <f>"014717"</f>
        <v>014717</v>
      </c>
      <c r="M907" t="str">
        <f>"00044"</f>
        <v>00044</v>
      </c>
      <c r="N907" t="s">
        <v>644</v>
      </c>
      <c r="O907">
        <v>13</v>
      </c>
      <c r="Q907" t="s">
        <v>33</v>
      </c>
      <c r="R907" t="s">
        <v>34</v>
      </c>
      <c r="S907" t="s">
        <v>35</v>
      </c>
      <c r="T907" t="s">
        <v>35</v>
      </c>
      <c r="U907" t="s">
        <v>34</v>
      </c>
      <c r="V907" t="str">
        <f>""</f>
        <v/>
      </c>
      <c r="W907">
        <v>20150121</v>
      </c>
      <c r="X907" t="s">
        <v>185</v>
      </c>
      <c r="Y907" t="s">
        <v>645</v>
      </c>
      <c r="Z907" t="s">
        <v>645</v>
      </c>
      <c r="AA907">
        <v>0</v>
      </c>
      <c r="AB907" t="s">
        <v>142</v>
      </c>
      <c r="AC907" t="s">
        <v>143</v>
      </c>
      <c r="AD907" t="s">
        <v>40</v>
      </c>
      <c r="AE907" t="str">
        <f t="shared" si="237"/>
        <v>01</v>
      </c>
      <c r="AF907" t="s">
        <v>40</v>
      </c>
    </row>
    <row r="908" spans="1:32" x14ac:dyDescent="0.25">
      <c r="A908">
        <v>5</v>
      </c>
      <c r="B908">
        <v>420</v>
      </c>
      <c r="C908" t="str">
        <f>"51"</f>
        <v>51</v>
      </c>
      <c r="D908">
        <v>6319</v>
      </c>
      <c r="E908" t="str">
        <f t="shared" si="252"/>
        <v>00</v>
      </c>
      <c r="F908" t="str">
        <f t="shared" si="254"/>
        <v>999</v>
      </c>
      <c r="G908">
        <v>5</v>
      </c>
      <c r="H908" t="str">
        <f>"99"</f>
        <v>99</v>
      </c>
      <c r="I908" t="str">
        <f t="shared" si="253"/>
        <v>0</v>
      </c>
      <c r="J908" t="str">
        <f t="shared" si="238"/>
        <v>00</v>
      </c>
      <c r="K908">
        <v>20150123</v>
      </c>
      <c r="L908" t="str">
        <f>"014717"</f>
        <v>014717</v>
      </c>
      <c r="M908" t="str">
        <f>"00044"</f>
        <v>00044</v>
      </c>
      <c r="N908" t="s">
        <v>644</v>
      </c>
      <c r="O908">
        <v>94.26</v>
      </c>
      <c r="Q908" t="s">
        <v>33</v>
      </c>
      <c r="R908" t="s">
        <v>34</v>
      </c>
      <c r="S908" t="s">
        <v>35</v>
      </c>
      <c r="T908" t="s">
        <v>35</v>
      </c>
      <c r="U908" t="s">
        <v>34</v>
      </c>
      <c r="V908" t="str">
        <f>""</f>
        <v/>
      </c>
      <c r="W908">
        <v>20150121</v>
      </c>
      <c r="X908" t="s">
        <v>185</v>
      </c>
      <c r="Y908" t="s">
        <v>646</v>
      </c>
      <c r="Z908" t="s">
        <v>646</v>
      </c>
      <c r="AA908">
        <v>0</v>
      </c>
      <c r="AB908" t="s">
        <v>142</v>
      </c>
      <c r="AC908" t="s">
        <v>143</v>
      </c>
      <c r="AD908" t="s">
        <v>40</v>
      </c>
      <c r="AE908" t="str">
        <f t="shared" si="237"/>
        <v>01</v>
      </c>
      <c r="AF908" t="s">
        <v>40</v>
      </c>
    </row>
    <row r="909" spans="1:32" x14ac:dyDescent="0.25">
      <c r="A909">
        <v>5</v>
      </c>
      <c r="B909">
        <v>240</v>
      </c>
      <c r="C909" t="str">
        <f>"35"</f>
        <v>35</v>
      </c>
      <c r="D909">
        <v>6341</v>
      </c>
      <c r="E909" t="str">
        <f t="shared" si="252"/>
        <v>00</v>
      </c>
      <c r="F909" t="str">
        <f t="shared" si="254"/>
        <v>999</v>
      </c>
      <c r="G909">
        <v>5</v>
      </c>
      <c r="H909" t="str">
        <f>"99"</f>
        <v>99</v>
      </c>
      <c r="I909" t="str">
        <f t="shared" si="253"/>
        <v>0</v>
      </c>
      <c r="J909" t="str">
        <f t="shared" si="238"/>
        <v>00</v>
      </c>
      <c r="K909">
        <v>20150123</v>
      </c>
      <c r="L909" t="str">
        <f>"014718"</f>
        <v>014718</v>
      </c>
      <c r="M909" t="str">
        <f>"00048"</f>
        <v>00048</v>
      </c>
      <c r="N909" t="s">
        <v>647</v>
      </c>
      <c r="O909">
        <v>110.16</v>
      </c>
      <c r="Q909" t="s">
        <v>33</v>
      </c>
      <c r="R909" t="s">
        <v>34</v>
      </c>
      <c r="S909" t="s">
        <v>35</v>
      </c>
      <c r="T909" t="s">
        <v>35</v>
      </c>
      <c r="U909" t="s">
        <v>34</v>
      </c>
      <c r="V909" t="str">
        <f>""</f>
        <v/>
      </c>
      <c r="W909">
        <v>20150121</v>
      </c>
      <c r="X909" t="s">
        <v>268</v>
      </c>
      <c r="Y909" t="s">
        <v>573</v>
      </c>
      <c r="Z909" t="s">
        <v>573</v>
      </c>
      <c r="AA909">
        <v>0</v>
      </c>
      <c r="AB909" t="s">
        <v>238</v>
      </c>
      <c r="AC909" t="s">
        <v>143</v>
      </c>
      <c r="AD909" t="s">
        <v>40</v>
      </c>
      <c r="AE909" t="str">
        <f t="shared" si="237"/>
        <v>01</v>
      </c>
      <c r="AF909" t="s">
        <v>40</v>
      </c>
    </row>
    <row r="910" spans="1:32" x14ac:dyDescent="0.25">
      <c r="A910">
        <v>5</v>
      </c>
      <c r="B910">
        <v>255</v>
      </c>
      <c r="C910" t="str">
        <f>"11"</f>
        <v>11</v>
      </c>
      <c r="D910">
        <v>6219</v>
      </c>
      <c r="E910" t="str">
        <f t="shared" si="252"/>
        <v>00</v>
      </c>
      <c r="F910" t="str">
        <f t="shared" si="254"/>
        <v>999</v>
      </c>
      <c r="G910">
        <v>5</v>
      </c>
      <c r="H910" t="str">
        <f>"30"</f>
        <v>30</v>
      </c>
      <c r="I910" t="str">
        <f t="shared" si="253"/>
        <v>0</v>
      </c>
      <c r="J910" t="str">
        <f t="shared" si="238"/>
        <v>00</v>
      </c>
      <c r="K910">
        <v>20150123</v>
      </c>
      <c r="L910" t="str">
        <f>"014719"</f>
        <v>014719</v>
      </c>
      <c r="M910" t="str">
        <f>"00734"</f>
        <v>00734</v>
      </c>
      <c r="N910" t="s">
        <v>220</v>
      </c>
      <c r="O910">
        <v>550</v>
      </c>
      <c r="Q910" t="s">
        <v>33</v>
      </c>
      <c r="R910" t="s">
        <v>34</v>
      </c>
      <c r="S910" t="s">
        <v>35</v>
      </c>
      <c r="T910" t="s">
        <v>35</v>
      </c>
      <c r="U910" t="s">
        <v>34</v>
      </c>
      <c r="V910" t="str">
        <f>""</f>
        <v/>
      </c>
      <c r="W910">
        <v>20150122</v>
      </c>
      <c r="X910" t="s">
        <v>177</v>
      </c>
      <c r="Y910" t="s">
        <v>648</v>
      </c>
      <c r="Z910" t="s">
        <v>648</v>
      </c>
      <c r="AA910">
        <v>0</v>
      </c>
      <c r="AB910" t="s">
        <v>178</v>
      </c>
      <c r="AC910" t="s">
        <v>143</v>
      </c>
      <c r="AD910" t="s">
        <v>40</v>
      </c>
      <c r="AE910" t="str">
        <f t="shared" si="237"/>
        <v>01</v>
      </c>
      <c r="AF910" t="s">
        <v>40</v>
      </c>
    </row>
    <row r="911" spans="1:32" x14ac:dyDescent="0.25">
      <c r="A911">
        <v>5</v>
      </c>
      <c r="B911">
        <v>420</v>
      </c>
      <c r="C911" t="str">
        <f>"51"</f>
        <v>51</v>
      </c>
      <c r="D911">
        <v>6259</v>
      </c>
      <c r="E911" t="str">
        <f>"55"</f>
        <v>55</v>
      </c>
      <c r="F911" t="str">
        <f t="shared" si="254"/>
        <v>999</v>
      </c>
      <c r="G911">
        <v>5</v>
      </c>
      <c r="H911" t="str">
        <f>"99"</f>
        <v>99</v>
      </c>
      <c r="I911" t="str">
        <f t="shared" si="253"/>
        <v>0</v>
      </c>
      <c r="J911" t="str">
        <f t="shared" si="238"/>
        <v>00</v>
      </c>
      <c r="K911">
        <v>20150123</v>
      </c>
      <c r="L911" t="str">
        <f>"014720"</f>
        <v>014720</v>
      </c>
      <c r="M911" t="str">
        <f>"00075"</f>
        <v>00075</v>
      </c>
      <c r="N911" t="s">
        <v>649</v>
      </c>
      <c r="O911">
        <v>22.16</v>
      </c>
      <c r="Q911" t="s">
        <v>33</v>
      </c>
      <c r="R911" t="s">
        <v>34</v>
      </c>
      <c r="S911" t="s">
        <v>35</v>
      </c>
      <c r="T911" t="s">
        <v>35</v>
      </c>
      <c r="U911" t="s">
        <v>34</v>
      </c>
      <c r="V911" t="str">
        <f>""</f>
        <v/>
      </c>
      <c r="W911">
        <v>20150121</v>
      </c>
      <c r="X911" t="s">
        <v>243</v>
      </c>
      <c r="Y911" t="s">
        <v>244</v>
      </c>
      <c r="Z911" t="s">
        <v>244</v>
      </c>
      <c r="AA911">
        <v>0</v>
      </c>
      <c r="AB911" t="s">
        <v>142</v>
      </c>
      <c r="AC911" t="s">
        <v>143</v>
      </c>
      <c r="AD911" t="s">
        <v>40</v>
      </c>
      <c r="AE911" t="str">
        <f t="shared" si="237"/>
        <v>01</v>
      </c>
      <c r="AF911" t="s">
        <v>40</v>
      </c>
    </row>
    <row r="912" spans="1:32" x14ac:dyDescent="0.25">
      <c r="A912">
        <v>5</v>
      </c>
      <c r="B912">
        <v>420</v>
      </c>
      <c r="C912" t="str">
        <f>"41"</f>
        <v>41</v>
      </c>
      <c r="D912">
        <v>6219</v>
      </c>
      <c r="E912" t="str">
        <f t="shared" ref="E912:E955" si="255">"00"</f>
        <v>00</v>
      </c>
      <c r="F912" t="str">
        <f>"750"</f>
        <v>750</v>
      </c>
      <c r="G912">
        <v>5</v>
      </c>
      <c r="H912" t="str">
        <f>"99"</f>
        <v>99</v>
      </c>
      <c r="I912" t="str">
        <f t="shared" si="253"/>
        <v>0</v>
      </c>
      <c r="J912" t="str">
        <f t="shared" si="238"/>
        <v>00</v>
      </c>
      <c r="K912">
        <v>20150123</v>
      </c>
      <c r="L912" t="str">
        <f>"014721"</f>
        <v>014721</v>
      </c>
      <c r="M912" t="str">
        <f>"00079"</f>
        <v>00079</v>
      </c>
      <c r="N912" t="s">
        <v>650</v>
      </c>
      <c r="O912">
        <v>39.4</v>
      </c>
      <c r="Q912" t="s">
        <v>33</v>
      </c>
      <c r="R912" t="s">
        <v>34</v>
      </c>
      <c r="S912" t="s">
        <v>35</v>
      </c>
      <c r="T912" t="s">
        <v>35</v>
      </c>
      <c r="U912" t="s">
        <v>34</v>
      </c>
      <c r="V912" t="str">
        <f>""</f>
        <v/>
      </c>
      <c r="W912">
        <v>20150121</v>
      </c>
      <c r="X912" t="s">
        <v>255</v>
      </c>
      <c r="Y912" t="s">
        <v>592</v>
      </c>
      <c r="Z912" t="s">
        <v>592</v>
      </c>
      <c r="AA912">
        <v>0</v>
      </c>
      <c r="AB912" t="s">
        <v>142</v>
      </c>
      <c r="AC912" t="s">
        <v>170</v>
      </c>
      <c r="AD912" t="s">
        <v>40</v>
      </c>
      <c r="AE912" t="str">
        <f t="shared" si="237"/>
        <v>01</v>
      </c>
      <c r="AF912" t="s">
        <v>40</v>
      </c>
    </row>
    <row r="913" spans="1:32" x14ac:dyDescent="0.25">
      <c r="A913">
        <v>5</v>
      </c>
      <c r="B913">
        <v>420</v>
      </c>
      <c r="C913" t="str">
        <f>"51"</f>
        <v>51</v>
      </c>
      <c r="D913">
        <v>6219</v>
      </c>
      <c r="E913" t="str">
        <f t="shared" si="255"/>
        <v>00</v>
      </c>
      <c r="F913" t="str">
        <f>"999"</f>
        <v>999</v>
      </c>
      <c r="G913">
        <v>5</v>
      </c>
      <c r="H913" t="str">
        <f>"99"</f>
        <v>99</v>
      </c>
      <c r="I913" t="str">
        <f t="shared" si="253"/>
        <v>0</v>
      </c>
      <c r="J913" t="str">
        <f t="shared" si="238"/>
        <v>00</v>
      </c>
      <c r="K913">
        <v>20150123</v>
      </c>
      <c r="L913" t="str">
        <f>"014722"</f>
        <v>014722</v>
      </c>
      <c r="M913" t="str">
        <f>"00102"</f>
        <v>00102</v>
      </c>
      <c r="N913" t="s">
        <v>367</v>
      </c>
      <c r="O913">
        <v>145</v>
      </c>
      <c r="Q913" t="s">
        <v>33</v>
      </c>
      <c r="R913" t="s">
        <v>34</v>
      </c>
      <c r="S913" t="s">
        <v>35</v>
      </c>
      <c r="T913" t="s">
        <v>35</v>
      </c>
      <c r="U913" t="s">
        <v>34</v>
      </c>
      <c r="V913" t="str">
        <f>""</f>
        <v/>
      </c>
      <c r="W913">
        <v>20150121</v>
      </c>
      <c r="X913" t="s">
        <v>183</v>
      </c>
      <c r="Y913" t="s">
        <v>368</v>
      </c>
      <c r="Z913" t="s">
        <v>368</v>
      </c>
      <c r="AA913">
        <v>0</v>
      </c>
      <c r="AB913" t="s">
        <v>142</v>
      </c>
      <c r="AC913" t="s">
        <v>143</v>
      </c>
      <c r="AD913" t="s">
        <v>40</v>
      </c>
      <c r="AE913" t="str">
        <f t="shared" si="237"/>
        <v>01</v>
      </c>
      <c r="AF913" t="s">
        <v>40</v>
      </c>
    </row>
    <row r="914" spans="1:32" x14ac:dyDescent="0.25">
      <c r="A914">
        <v>5</v>
      </c>
      <c r="B914">
        <v>420</v>
      </c>
      <c r="C914" t="str">
        <f>"11"</f>
        <v>11</v>
      </c>
      <c r="D914">
        <v>6399</v>
      </c>
      <c r="E914" t="str">
        <f t="shared" si="255"/>
        <v>00</v>
      </c>
      <c r="F914" t="str">
        <f>"041"</f>
        <v>041</v>
      </c>
      <c r="G914">
        <v>5</v>
      </c>
      <c r="H914" t="str">
        <f>"11"</f>
        <v>11</v>
      </c>
      <c r="I914" t="str">
        <f t="shared" si="253"/>
        <v>0</v>
      </c>
      <c r="J914" t="str">
        <f t="shared" si="238"/>
        <v>00</v>
      </c>
      <c r="K914">
        <v>20150123</v>
      </c>
      <c r="L914" t="str">
        <f>"014723"</f>
        <v>014723</v>
      </c>
      <c r="M914" t="str">
        <f>"00527"</f>
        <v>00527</v>
      </c>
      <c r="N914" t="s">
        <v>651</v>
      </c>
      <c r="O914">
        <v>66</v>
      </c>
      <c r="Q914" t="s">
        <v>33</v>
      </c>
      <c r="R914" t="s">
        <v>34</v>
      </c>
      <c r="S914" t="s">
        <v>35</v>
      </c>
      <c r="T914" t="s">
        <v>35</v>
      </c>
      <c r="U914" t="s">
        <v>34</v>
      </c>
      <c r="V914" t="str">
        <f>""</f>
        <v/>
      </c>
      <c r="W914">
        <v>20150121</v>
      </c>
      <c r="X914" t="s">
        <v>241</v>
      </c>
      <c r="Y914" t="s">
        <v>500</v>
      </c>
      <c r="Z914" t="s">
        <v>500</v>
      </c>
      <c r="AA914">
        <v>0</v>
      </c>
      <c r="AB914" t="s">
        <v>142</v>
      </c>
      <c r="AC914" t="s">
        <v>41</v>
      </c>
      <c r="AD914" t="s">
        <v>40</v>
      </c>
      <c r="AE914" t="str">
        <f t="shared" si="237"/>
        <v>01</v>
      </c>
      <c r="AF914" t="s">
        <v>40</v>
      </c>
    </row>
    <row r="915" spans="1:32" x14ac:dyDescent="0.25">
      <c r="A915">
        <v>5</v>
      </c>
      <c r="B915">
        <v>420</v>
      </c>
      <c r="C915" t="str">
        <f>"11"</f>
        <v>11</v>
      </c>
      <c r="D915">
        <v>6399</v>
      </c>
      <c r="E915" t="str">
        <f t="shared" si="255"/>
        <v>00</v>
      </c>
      <c r="F915" t="str">
        <f>"101"</f>
        <v>101</v>
      </c>
      <c r="G915">
        <v>5</v>
      </c>
      <c r="H915" t="str">
        <f>"11"</f>
        <v>11</v>
      </c>
      <c r="I915" t="str">
        <f t="shared" si="253"/>
        <v>0</v>
      </c>
      <c r="J915" t="str">
        <f t="shared" si="238"/>
        <v>00</v>
      </c>
      <c r="K915">
        <v>20150123</v>
      </c>
      <c r="L915" t="str">
        <f>"014723"</f>
        <v>014723</v>
      </c>
      <c r="M915" t="str">
        <f>"00527"</f>
        <v>00527</v>
      </c>
      <c r="N915" t="s">
        <v>651</v>
      </c>
      <c r="O915">
        <v>144.1</v>
      </c>
      <c r="Q915" t="s">
        <v>33</v>
      </c>
      <c r="R915" t="s">
        <v>34</v>
      </c>
      <c r="S915" t="s">
        <v>35</v>
      </c>
      <c r="T915" t="s">
        <v>35</v>
      </c>
      <c r="U915" t="s">
        <v>34</v>
      </c>
      <c r="V915" t="str">
        <f>""</f>
        <v/>
      </c>
      <c r="W915">
        <v>20150121</v>
      </c>
      <c r="X915" t="s">
        <v>246</v>
      </c>
      <c r="Y915" t="s">
        <v>500</v>
      </c>
      <c r="Z915" t="s">
        <v>500</v>
      </c>
      <c r="AA915">
        <v>0</v>
      </c>
      <c r="AB915" t="s">
        <v>142</v>
      </c>
      <c r="AC915" t="s">
        <v>41</v>
      </c>
      <c r="AD915" t="s">
        <v>40</v>
      </c>
      <c r="AE915" t="str">
        <f t="shared" ref="AE915:AE978" si="256">"01"</f>
        <v>01</v>
      </c>
      <c r="AF915" t="s">
        <v>40</v>
      </c>
    </row>
    <row r="916" spans="1:32" x14ac:dyDescent="0.25">
      <c r="A916">
        <v>5</v>
      </c>
      <c r="B916">
        <v>420</v>
      </c>
      <c r="C916" t="str">
        <f t="shared" ref="C916:C923" si="257">"51"</f>
        <v>51</v>
      </c>
      <c r="D916">
        <v>6319</v>
      </c>
      <c r="E916" t="str">
        <f t="shared" si="255"/>
        <v>00</v>
      </c>
      <c r="F916" t="str">
        <f t="shared" ref="F916:F933" si="258">"999"</f>
        <v>999</v>
      </c>
      <c r="G916">
        <v>5</v>
      </c>
      <c r="H916" t="str">
        <f t="shared" ref="H916:H923" si="259">"99"</f>
        <v>99</v>
      </c>
      <c r="I916" t="str">
        <f t="shared" si="253"/>
        <v>0</v>
      </c>
      <c r="J916" t="str">
        <f t="shared" si="238"/>
        <v>00</v>
      </c>
      <c r="K916">
        <v>20150123</v>
      </c>
      <c r="L916" t="str">
        <f t="shared" ref="L916:L923" si="260">"014724"</f>
        <v>014724</v>
      </c>
      <c r="M916" t="str">
        <f t="shared" ref="M916:M923" si="261">"00671"</f>
        <v>00671</v>
      </c>
      <c r="N916" t="s">
        <v>605</v>
      </c>
      <c r="O916">
        <v>50.03</v>
      </c>
      <c r="Q916" t="s">
        <v>33</v>
      </c>
      <c r="R916" t="s">
        <v>34</v>
      </c>
      <c r="S916" t="s">
        <v>35</v>
      </c>
      <c r="T916" t="s">
        <v>35</v>
      </c>
      <c r="U916" t="s">
        <v>34</v>
      </c>
      <c r="V916" t="str">
        <f>""</f>
        <v/>
      </c>
      <c r="W916">
        <v>20150121</v>
      </c>
      <c r="X916" t="s">
        <v>185</v>
      </c>
      <c r="Y916" t="s">
        <v>628</v>
      </c>
      <c r="Z916" t="s">
        <v>628</v>
      </c>
      <c r="AA916">
        <v>0</v>
      </c>
      <c r="AB916" t="s">
        <v>142</v>
      </c>
      <c r="AC916" t="s">
        <v>143</v>
      </c>
      <c r="AD916" t="s">
        <v>40</v>
      </c>
      <c r="AE916" t="str">
        <f t="shared" si="256"/>
        <v>01</v>
      </c>
      <c r="AF916" t="s">
        <v>40</v>
      </c>
    </row>
    <row r="917" spans="1:32" x14ac:dyDescent="0.25">
      <c r="A917">
        <v>5</v>
      </c>
      <c r="B917">
        <v>420</v>
      </c>
      <c r="C917" t="str">
        <f t="shared" si="257"/>
        <v>51</v>
      </c>
      <c r="D917">
        <v>6319</v>
      </c>
      <c r="E917" t="str">
        <f t="shared" si="255"/>
        <v>00</v>
      </c>
      <c r="F917" t="str">
        <f t="shared" si="258"/>
        <v>999</v>
      </c>
      <c r="G917">
        <v>5</v>
      </c>
      <c r="H917" t="str">
        <f t="shared" si="259"/>
        <v>99</v>
      </c>
      <c r="I917" t="str">
        <f t="shared" si="253"/>
        <v>0</v>
      </c>
      <c r="J917" t="str">
        <f t="shared" ref="J917:J980" si="262">"00"</f>
        <v>00</v>
      </c>
      <c r="K917">
        <v>20150123</v>
      </c>
      <c r="L917" t="str">
        <f t="shared" si="260"/>
        <v>014724</v>
      </c>
      <c r="M917" t="str">
        <f t="shared" si="261"/>
        <v>00671</v>
      </c>
      <c r="N917" t="s">
        <v>605</v>
      </c>
      <c r="O917">
        <v>0.68</v>
      </c>
      <c r="Q917" t="s">
        <v>33</v>
      </c>
      <c r="R917" t="s">
        <v>34</v>
      </c>
      <c r="S917" t="s">
        <v>35</v>
      </c>
      <c r="T917" t="s">
        <v>35</v>
      </c>
      <c r="U917" t="s">
        <v>34</v>
      </c>
      <c r="V917" t="str">
        <f>""</f>
        <v/>
      </c>
      <c r="W917">
        <v>20150121</v>
      </c>
      <c r="X917" t="s">
        <v>185</v>
      </c>
      <c r="Y917" t="s">
        <v>628</v>
      </c>
      <c r="Z917" t="s">
        <v>628</v>
      </c>
      <c r="AA917">
        <v>0</v>
      </c>
      <c r="AB917" t="s">
        <v>142</v>
      </c>
      <c r="AC917" t="s">
        <v>143</v>
      </c>
      <c r="AD917" t="s">
        <v>40</v>
      </c>
      <c r="AE917" t="str">
        <f t="shared" si="256"/>
        <v>01</v>
      </c>
      <c r="AF917" t="s">
        <v>40</v>
      </c>
    </row>
    <row r="918" spans="1:32" x14ac:dyDescent="0.25">
      <c r="A918">
        <v>5</v>
      </c>
      <c r="B918">
        <v>420</v>
      </c>
      <c r="C918" t="str">
        <f t="shared" si="257"/>
        <v>51</v>
      </c>
      <c r="D918">
        <v>6319</v>
      </c>
      <c r="E918" t="str">
        <f t="shared" si="255"/>
        <v>00</v>
      </c>
      <c r="F918" t="str">
        <f t="shared" si="258"/>
        <v>999</v>
      </c>
      <c r="G918">
        <v>5</v>
      </c>
      <c r="H918" t="str">
        <f t="shared" si="259"/>
        <v>99</v>
      </c>
      <c r="I918" t="str">
        <f t="shared" si="253"/>
        <v>0</v>
      </c>
      <c r="J918" t="str">
        <f t="shared" si="262"/>
        <v>00</v>
      </c>
      <c r="K918">
        <v>20150123</v>
      </c>
      <c r="L918" t="str">
        <f t="shared" si="260"/>
        <v>014724</v>
      </c>
      <c r="M918" t="str">
        <f t="shared" si="261"/>
        <v>00671</v>
      </c>
      <c r="N918" t="s">
        <v>605</v>
      </c>
      <c r="O918">
        <v>12.93</v>
      </c>
      <c r="Q918" t="s">
        <v>33</v>
      </c>
      <c r="R918" t="s">
        <v>34</v>
      </c>
      <c r="S918" t="s">
        <v>35</v>
      </c>
      <c r="T918" t="s">
        <v>35</v>
      </c>
      <c r="U918" t="s">
        <v>34</v>
      </c>
      <c r="V918" t="str">
        <f>""</f>
        <v/>
      </c>
      <c r="W918">
        <v>20150121</v>
      </c>
      <c r="X918" t="s">
        <v>185</v>
      </c>
      <c r="Y918" t="s">
        <v>628</v>
      </c>
      <c r="Z918" t="s">
        <v>628</v>
      </c>
      <c r="AA918">
        <v>0</v>
      </c>
      <c r="AB918" t="s">
        <v>142</v>
      </c>
      <c r="AC918" t="s">
        <v>143</v>
      </c>
      <c r="AD918" t="s">
        <v>40</v>
      </c>
      <c r="AE918" t="str">
        <f t="shared" si="256"/>
        <v>01</v>
      </c>
      <c r="AF918" t="s">
        <v>40</v>
      </c>
    </row>
    <row r="919" spans="1:32" x14ac:dyDescent="0.25">
      <c r="A919">
        <v>5</v>
      </c>
      <c r="B919">
        <v>420</v>
      </c>
      <c r="C919" t="str">
        <f t="shared" si="257"/>
        <v>51</v>
      </c>
      <c r="D919">
        <v>6319</v>
      </c>
      <c r="E919" t="str">
        <f t="shared" si="255"/>
        <v>00</v>
      </c>
      <c r="F919" t="str">
        <f t="shared" si="258"/>
        <v>999</v>
      </c>
      <c r="G919">
        <v>5</v>
      </c>
      <c r="H919" t="str">
        <f t="shared" si="259"/>
        <v>99</v>
      </c>
      <c r="I919" t="str">
        <f t="shared" si="253"/>
        <v>0</v>
      </c>
      <c r="J919" t="str">
        <f t="shared" si="262"/>
        <v>00</v>
      </c>
      <c r="K919">
        <v>20150123</v>
      </c>
      <c r="L919" t="str">
        <f t="shared" si="260"/>
        <v>014724</v>
      </c>
      <c r="M919" t="str">
        <f t="shared" si="261"/>
        <v>00671</v>
      </c>
      <c r="N919" t="s">
        <v>605</v>
      </c>
      <c r="O919">
        <v>198.21</v>
      </c>
      <c r="Q919" t="s">
        <v>33</v>
      </c>
      <c r="R919" t="s">
        <v>34</v>
      </c>
      <c r="S919" t="s">
        <v>35</v>
      </c>
      <c r="T919" t="s">
        <v>35</v>
      </c>
      <c r="U919" t="s">
        <v>34</v>
      </c>
      <c r="V919" t="str">
        <f>""</f>
        <v/>
      </c>
      <c r="W919">
        <v>20150121</v>
      </c>
      <c r="X919" t="s">
        <v>185</v>
      </c>
      <c r="Y919" t="s">
        <v>628</v>
      </c>
      <c r="Z919" t="s">
        <v>628</v>
      </c>
      <c r="AA919">
        <v>0</v>
      </c>
      <c r="AB919" t="s">
        <v>142</v>
      </c>
      <c r="AC919" t="s">
        <v>143</v>
      </c>
      <c r="AD919" t="s">
        <v>40</v>
      </c>
      <c r="AE919" t="str">
        <f t="shared" si="256"/>
        <v>01</v>
      </c>
      <c r="AF919" t="s">
        <v>40</v>
      </c>
    </row>
    <row r="920" spans="1:32" x14ac:dyDescent="0.25">
      <c r="A920">
        <v>5</v>
      </c>
      <c r="B920">
        <v>420</v>
      </c>
      <c r="C920" t="str">
        <f t="shared" si="257"/>
        <v>51</v>
      </c>
      <c r="D920">
        <v>6319</v>
      </c>
      <c r="E920" t="str">
        <f t="shared" si="255"/>
        <v>00</v>
      </c>
      <c r="F920" t="str">
        <f t="shared" si="258"/>
        <v>999</v>
      </c>
      <c r="G920">
        <v>5</v>
      </c>
      <c r="H920" t="str">
        <f t="shared" si="259"/>
        <v>99</v>
      </c>
      <c r="I920" t="str">
        <f t="shared" si="253"/>
        <v>0</v>
      </c>
      <c r="J920" t="str">
        <f t="shared" si="262"/>
        <v>00</v>
      </c>
      <c r="K920">
        <v>20150123</v>
      </c>
      <c r="L920" t="str">
        <f t="shared" si="260"/>
        <v>014724</v>
      </c>
      <c r="M920" t="str">
        <f t="shared" si="261"/>
        <v>00671</v>
      </c>
      <c r="N920" t="s">
        <v>605</v>
      </c>
      <c r="O920">
        <v>151.86000000000001</v>
      </c>
      <c r="Q920" t="s">
        <v>33</v>
      </c>
      <c r="R920" t="s">
        <v>34</v>
      </c>
      <c r="S920" t="s">
        <v>35</v>
      </c>
      <c r="T920" t="s">
        <v>35</v>
      </c>
      <c r="U920" t="s">
        <v>34</v>
      </c>
      <c r="V920" t="str">
        <f>""</f>
        <v/>
      </c>
      <c r="W920">
        <v>20150121</v>
      </c>
      <c r="X920" t="s">
        <v>185</v>
      </c>
      <c r="Y920" t="s">
        <v>628</v>
      </c>
      <c r="Z920" t="s">
        <v>628</v>
      </c>
      <c r="AA920">
        <v>0</v>
      </c>
      <c r="AB920" t="s">
        <v>142</v>
      </c>
      <c r="AC920" t="s">
        <v>143</v>
      </c>
      <c r="AD920" t="s">
        <v>40</v>
      </c>
      <c r="AE920" t="str">
        <f t="shared" si="256"/>
        <v>01</v>
      </c>
      <c r="AF920" t="s">
        <v>40</v>
      </c>
    </row>
    <row r="921" spans="1:32" x14ac:dyDescent="0.25">
      <c r="A921">
        <v>5</v>
      </c>
      <c r="B921">
        <v>420</v>
      </c>
      <c r="C921" t="str">
        <f t="shared" si="257"/>
        <v>51</v>
      </c>
      <c r="D921">
        <v>6319</v>
      </c>
      <c r="E921" t="str">
        <f t="shared" si="255"/>
        <v>00</v>
      </c>
      <c r="F921" t="str">
        <f t="shared" si="258"/>
        <v>999</v>
      </c>
      <c r="G921">
        <v>5</v>
      </c>
      <c r="H921" t="str">
        <f t="shared" si="259"/>
        <v>99</v>
      </c>
      <c r="I921" t="str">
        <f t="shared" si="253"/>
        <v>0</v>
      </c>
      <c r="J921" t="str">
        <f t="shared" si="262"/>
        <v>00</v>
      </c>
      <c r="K921">
        <v>20150123</v>
      </c>
      <c r="L921" t="str">
        <f t="shared" si="260"/>
        <v>014724</v>
      </c>
      <c r="M921" t="str">
        <f t="shared" si="261"/>
        <v>00671</v>
      </c>
      <c r="N921" t="s">
        <v>605</v>
      </c>
      <c r="O921">
        <v>7.72</v>
      </c>
      <c r="Q921" t="s">
        <v>33</v>
      </c>
      <c r="R921" t="s">
        <v>34</v>
      </c>
      <c r="S921" t="s">
        <v>35</v>
      </c>
      <c r="T921" t="s">
        <v>35</v>
      </c>
      <c r="U921" t="s">
        <v>34</v>
      </c>
      <c r="V921" t="str">
        <f>""</f>
        <v/>
      </c>
      <c r="W921">
        <v>20150121</v>
      </c>
      <c r="X921" t="s">
        <v>185</v>
      </c>
      <c r="Y921" t="s">
        <v>628</v>
      </c>
      <c r="Z921" t="s">
        <v>628</v>
      </c>
      <c r="AA921">
        <v>0</v>
      </c>
      <c r="AB921" t="s">
        <v>142</v>
      </c>
      <c r="AC921" t="s">
        <v>143</v>
      </c>
      <c r="AD921" t="s">
        <v>40</v>
      </c>
      <c r="AE921" t="str">
        <f t="shared" si="256"/>
        <v>01</v>
      </c>
      <c r="AF921" t="s">
        <v>40</v>
      </c>
    </row>
    <row r="922" spans="1:32" x14ac:dyDescent="0.25">
      <c r="A922">
        <v>5</v>
      </c>
      <c r="B922">
        <v>420</v>
      </c>
      <c r="C922" t="str">
        <f t="shared" si="257"/>
        <v>51</v>
      </c>
      <c r="D922">
        <v>6319</v>
      </c>
      <c r="E922" t="str">
        <f t="shared" si="255"/>
        <v>00</v>
      </c>
      <c r="F922" t="str">
        <f t="shared" si="258"/>
        <v>999</v>
      </c>
      <c r="G922">
        <v>5</v>
      </c>
      <c r="H922" t="str">
        <f t="shared" si="259"/>
        <v>99</v>
      </c>
      <c r="I922" t="str">
        <f t="shared" si="253"/>
        <v>0</v>
      </c>
      <c r="J922" t="str">
        <f t="shared" si="262"/>
        <v>00</v>
      </c>
      <c r="K922">
        <v>20150123</v>
      </c>
      <c r="L922" t="str">
        <f t="shared" si="260"/>
        <v>014724</v>
      </c>
      <c r="M922" t="str">
        <f t="shared" si="261"/>
        <v>00671</v>
      </c>
      <c r="N922" t="s">
        <v>605</v>
      </c>
      <c r="O922">
        <v>22.59</v>
      </c>
      <c r="Q922" t="s">
        <v>33</v>
      </c>
      <c r="R922" t="s">
        <v>34</v>
      </c>
      <c r="S922" t="s">
        <v>35</v>
      </c>
      <c r="T922" t="s">
        <v>35</v>
      </c>
      <c r="U922" t="s">
        <v>34</v>
      </c>
      <c r="V922" t="str">
        <f>""</f>
        <v/>
      </c>
      <c r="W922">
        <v>20150121</v>
      </c>
      <c r="X922" t="s">
        <v>185</v>
      </c>
      <c r="Y922" t="s">
        <v>628</v>
      </c>
      <c r="Z922" t="s">
        <v>628</v>
      </c>
      <c r="AA922">
        <v>0</v>
      </c>
      <c r="AB922" t="s">
        <v>142</v>
      </c>
      <c r="AC922" t="s">
        <v>143</v>
      </c>
      <c r="AD922" t="s">
        <v>40</v>
      </c>
      <c r="AE922" t="str">
        <f t="shared" si="256"/>
        <v>01</v>
      </c>
      <c r="AF922" t="s">
        <v>40</v>
      </c>
    </row>
    <row r="923" spans="1:32" x14ac:dyDescent="0.25">
      <c r="A923">
        <v>5</v>
      </c>
      <c r="B923">
        <v>420</v>
      </c>
      <c r="C923" t="str">
        <f t="shared" si="257"/>
        <v>51</v>
      </c>
      <c r="D923">
        <v>6319</v>
      </c>
      <c r="E923" t="str">
        <f t="shared" si="255"/>
        <v>00</v>
      </c>
      <c r="F923" t="str">
        <f t="shared" si="258"/>
        <v>999</v>
      </c>
      <c r="G923">
        <v>5</v>
      </c>
      <c r="H923" t="str">
        <f t="shared" si="259"/>
        <v>99</v>
      </c>
      <c r="I923" t="str">
        <f t="shared" si="253"/>
        <v>0</v>
      </c>
      <c r="J923" t="str">
        <f t="shared" si="262"/>
        <v>00</v>
      </c>
      <c r="K923">
        <v>20150123</v>
      </c>
      <c r="L923" t="str">
        <f t="shared" si="260"/>
        <v>014724</v>
      </c>
      <c r="M923" t="str">
        <f t="shared" si="261"/>
        <v>00671</v>
      </c>
      <c r="N923" t="s">
        <v>605</v>
      </c>
      <c r="O923">
        <v>34.29</v>
      </c>
      <c r="Q923" t="s">
        <v>33</v>
      </c>
      <c r="R923" t="s">
        <v>34</v>
      </c>
      <c r="S923" t="s">
        <v>35</v>
      </c>
      <c r="T923" t="s">
        <v>35</v>
      </c>
      <c r="U923" t="s">
        <v>34</v>
      </c>
      <c r="V923" t="str">
        <f>""</f>
        <v/>
      </c>
      <c r="W923">
        <v>20150121</v>
      </c>
      <c r="X923" t="s">
        <v>185</v>
      </c>
      <c r="Y923" t="s">
        <v>628</v>
      </c>
      <c r="Z923" t="s">
        <v>628</v>
      </c>
      <c r="AA923">
        <v>0</v>
      </c>
      <c r="AB923" t="s">
        <v>142</v>
      </c>
      <c r="AC923" t="s">
        <v>143</v>
      </c>
      <c r="AD923" t="s">
        <v>40</v>
      </c>
      <c r="AE923" t="str">
        <f t="shared" si="256"/>
        <v>01</v>
      </c>
      <c r="AF923" t="s">
        <v>40</v>
      </c>
    </row>
    <row r="924" spans="1:32" x14ac:dyDescent="0.25">
      <c r="A924">
        <v>5</v>
      </c>
      <c r="B924">
        <v>420</v>
      </c>
      <c r="C924" t="str">
        <f>"36"</f>
        <v>36</v>
      </c>
      <c r="D924">
        <v>6219</v>
      </c>
      <c r="E924" t="str">
        <f t="shared" si="255"/>
        <v>00</v>
      </c>
      <c r="F924" t="str">
        <f t="shared" si="258"/>
        <v>999</v>
      </c>
      <c r="G924">
        <v>5</v>
      </c>
      <c r="H924" t="str">
        <f>"91"</f>
        <v>91</v>
      </c>
      <c r="I924" t="str">
        <f t="shared" si="253"/>
        <v>0</v>
      </c>
      <c r="J924" t="str">
        <f t="shared" si="262"/>
        <v>00</v>
      </c>
      <c r="K924">
        <v>20150123</v>
      </c>
      <c r="L924" t="str">
        <f>"014725"</f>
        <v>014725</v>
      </c>
      <c r="M924" t="str">
        <f>"00823"</f>
        <v>00823</v>
      </c>
      <c r="N924" t="s">
        <v>652</v>
      </c>
      <c r="O924">
        <v>70</v>
      </c>
      <c r="Q924" t="s">
        <v>33</v>
      </c>
      <c r="R924" t="s">
        <v>34</v>
      </c>
      <c r="S924" t="s">
        <v>35</v>
      </c>
      <c r="T924" t="s">
        <v>35</v>
      </c>
      <c r="U924" t="s">
        <v>34</v>
      </c>
      <c r="V924" t="str">
        <f>""</f>
        <v/>
      </c>
      <c r="W924">
        <v>20150121</v>
      </c>
      <c r="X924" t="s">
        <v>186</v>
      </c>
      <c r="Y924" t="s">
        <v>653</v>
      </c>
      <c r="Z924" t="s">
        <v>653</v>
      </c>
      <c r="AA924">
        <v>0</v>
      </c>
      <c r="AB924" t="s">
        <v>142</v>
      </c>
      <c r="AC924" t="s">
        <v>143</v>
      </c>
      <c r="AD924" t="s">
        <v>40</v>
      </c>
      <c r="AE924" t="str">
        <f t="shared" si="256"/>
        <v>01</v>
      </c>
      <c r="AF924" t="s">
        <v>40</v>
      </c>
    </row>
    <row r="925" spans="1:32" x14ac:dyDescent="0.25">
      <c r="A925">
        <v>5</v>
      </c>
      <c r="B925">
        <v>420</v>
      </c>
      <c r="C925" t="str">
        <f>"11"</f>
        <v>11</v>
      </c>
      <c r="D925">
        <v>6399</v>
      </c>
      <c r="E925" t="str">
        <f t="shared" si="255"/>
        <v>00</v>
      </c>
      <c r="F925" t="str">
        <f t="shared" si="258"/>
        <v>999</v>
      </c>
      <c r="G925">
        <v>5</v>
      </c>
      <c r="H925" t="str">
        <f>"11"</f>
        <v>11</v>
      </c>
      <c r="I925" t="str">
        <f t="shared" si="253"/>
        <v>0</v>
      </c>
      <c r="J925" t="str">
        <f t="shared" si="262"/>
        <v>00</v>
      </c>
      <c r="K925">
        <v>20150123</v>
      </c>
      <c r="L925" t="str">
        <f>"014726"</f>
        <v>014726</v>
      </c>
      <c r="M925" t="str">
        <f>"00196"</f>
        <v>00196</v>
      </c>
      <c r="N925" t="s">
        <v>654</v>
      </c>
      <c r="O925">
        <v>44.26</v>
      </c>
      <c r="Q925" t="s">
        <v>33</v>
      </c>
      <c r="R925" t="s">
        <v>34</v>
      </c>
      <c r="S925" t="s">
        <v>35</v>
      </c>
      <c r="T925" t="s">
        <v>35</v>
      </c>
      <c r="U925" t="s">
        <v>34</v>
      </c>
      <c r="V925" t="str">
        <f>""</f>
        <v/>
      </c>
      <c r="W925">
        <v>20150121</v>
      </c>
      <c r="X925" t="s">
        <v>385</v>
      </c>
      <c r="Y925" t="s">
        <v>655</v>
      </c>
      <c r="Z925" t="s">
        <v>655</v>
      </c>
      <c r="AA925">
        <v>0</v>
      </c>
      <c r="AB925" t="s">
        <v>142</v>
      </c>
      <c r="AC925" t="s">
        <v>143</v>
      </c>
      <c r="AD925" t="s">
        <v>40</v>
      </c>
      <c r="AE925" t="str">
        <f t="shared" si="256"/>
        <v>01</v>
      </c>
      <c r="AF925" t="s">
        <v>40</v>
      </c>
    </row>
    <row r="926" spans="1:32" x14ac:dyDescent="0.25">
      <c r="A926">
        <v>5</v>
      </c>
      <c r="B926">
        <v>420</v>
      </c>
      <c r="C926" t="str">
        <f>"61"</f>
        <v>61</v>
      </c>
      <c r="D926">
        <v>6219</v>
      </c>
      <c r="E926" t="str">
        <f t="shared" si="255"/>
        <v>00</v>
      </c>
      <c r="F926" t="str">
        <f t="shared" si="258"/>
        <v>999</v>
      </c>
      <c r="G926">
        <v>5</v>
      </c>
      <c r="H926" t="str">
        <f>"11"</f>
        <v>11</v>
      </c>
      <c r="I926" t="str">
        <f t="shared" si="253"/>
        <v>0</v>
      </c>
      <c r="J926" t="str">
        <f t="shared" si="262"/>
        <v>00</v>
      </c>
      <c r="K926">
        <v>20150123</v>
      </c>
      <c r="L926" t="str">
        <f>"014727"</f>
        <v>014727</v>
      </c>
      <c r="M926" t="str">
        <f>"00566"</f>
        <v>00566</v>
      </c>
      <c r="N926" t="s">
        <v>221</v>
      </c>
      <c r="O926">
        <v>67</v>
      </c>
      <c r="Q926" t="s">
        <v>33</v>
      </c>
      <c r="R926" t="s">
        <v>34</v>
      </c>
      <c r="S926" t="s">
        <v>35</v>
      </c>
      <c r="T926" t="s">
        <v>35</v>
      </c>
      <c r="U926" t="s">
        <v>34</v>
      </c>
      <c r="V926" t="str">
        <f>""</f>
        <v/>
      </c>
      <c r="W926">
        <v>20150121</v>
      </c>
      <c r="X926" t="s">
        <v>222</v>
      </c>
      <c r="Y926" t="s">
        <v>223</v>
      </c>
      <c r="Z926" t="s">
        <v>223</v>
      </c>
      <c r="AA926">
        <v>0</v>
      </c>
      <c r="AB926" t="s">
        <v>142</v>
      </c>
      <c r="AC926" t="s">
        <v>143</v>
      </c>
      <c r="AD926" t="s">
        <v>40</v>
      </c>
      <c r="AE926" t="str">
        <f t="shared" si="256"/>
        <v>01</v>
      </c>
      <c r="AF926" t="s">
        <v>40</v>
      </c>
    </row>
    <row r="927" spans="1:32" x14ac:dyDescent="0.25">
      <c r="A927">
        <v>5</v>
      </c>
      <c r="B927">
        <v>240</v>
      </c>
      <c r="C927" t="str">
        <f t="shared" ref="C927:C932" si="263">"35"</f>
        <v>35</v>
      </c>
      <c r="D927">
        <v>6341</v>
      </c>
      <c r="E927" t="str">
        <f t="shared" si="255"/>
        <v>00</v>
      </c>
      <c r="F927" t="str">
        <f t="shared" si="258"/>
        <v>999</v>
      </c>
      <c r="G927">
        <v>5</v>
      </c>
      <c r="H927" t="str">
        <f t="shared" ref="H927:H932" si="264">"99"</f>
        <v>99</v>
      </c>
      <c r="I927" t="str">
        <f t="shared" si="253"/>
        <v>0</v>
      </c>
      <c r="J927" t="str">
        <f t="shared" si="262"/>
        <v>00</v>
      </c>
      <c r="K927">
        <v>20150123</v>
      </c>
      <c r="L927" t="str">
        <f t="shared" ref="L927:L932" si="265">"014728"</f>
        <v>014728</v>
      </c>
      <c r="M927" t="str">
        <f t="shared" ref="M927:M932" si="266">"00410"</f>
        <v>00410</v>
      </c>
      <c r="N927" t="s">
        <v>324</v>
      </c>
      <c r="O927">
        <v>432.25</v>
      </c>
      <c r="Q927" t="s">
        <v>33</v>
      </c>
      <c r="R927" t="s">
        <v>34</v>
      </c>
      <c r="S927" t="s">
        <v>35</v>
      </c>
      <c r="T927" t="s">
        <v>35</v>
      </c>
      <c r="U927" t="s">
        <v>34</v>
      </c>
      <c r="V927" t="str">
        <f>""</f>
        <v/>
      </c>
      <c r="W927">
        <v>20150121</v>
      </c>
      <c r="X927" t="s">
        <v>268</v>
      </c>
      <c r="Y927" t="s">
        <v>573</v>
      </c>
      <c r="Z927" t="s">
        <v>573</v>
      </c>
      <c r="AA927">
        <v>0</v>
      </c>
      <c r="AB927" t="s">
        <v>238</v>
      </c>
      <c r="AC927" t="s">
        <v>143</v>
      </c>
      <c r="AD927" t="s">
        <v>40</v>
      </c>
      <c r="AE927" t="str">
        <f t="shared" si="256"/>
        <v>01</v>
      </c>
      <c r="AF927" t="s">
        <v>40</v>
      </c>
    </row>
    <row r="928" spans="1:32" x14ac:dyDescent="0.25">
      <c r="A928">
        <v>5</v>
      </c>
      <c r="B928">
        <v>240</v>
      </c>
      <c r="C928" t="str">
        <f t="shared" si="263"/>
        <v>35</v>
      </c>
      <c r="D928">
        <v>6341</v>
      </c>
      <c r="E928" t="str">
        <f t="shared" si="255"/>
        <v>00</v>
      </c>
      <c r="F928" t="str">
        <f t="shared" si="258"/>
        <v>999</v>
      </c>
      <c r="G928">
        <v>5</v>
      </c>
      <c r="H928" t="str">
        <f t="shared" si="264"/>
        <v>99</v>
      </c>
      <c r="I928" t="str">
        <f t="shared" si="253"/>
        <v>0</v>
      </c>
      <c r="J928" t="str">
        <f t="shared" si="262"/>
        <v>00</v>
      </c>
      <c r="K928">
        <v>20150123</v>
      </c>
      <c r="L928" t="str">
        <f t="shared" si="265"/>
        <v>014728</v>
      </c>
      <c r="M928" t="str">
        <f t="shared" si="266"/>
        <v>00410</v>
      </c>
      <c r="N928" t="s">
        <v>324</v>
      </c>
      <c r="O928">
        <v>333.45</v>
      </c>
      <c r="Q928" t="s">
        <v>33</v>
      </c>
      <c r="R928" t="s">
        <v>34</v>
      </c>
      <c r="S928" t="s">
        <v>35</v>
      </c>
      <c r="T928" t="s">
        <v>35</v>
      </c>
      <c r="U928" t="s">
        <v>34</v>
      </c>
      <c r="V928" t="str">
        <f>""</f>
        <v/>
      </c>
      <c r="W928">
        <v>20150121</v>
      </c>
      <c r="X928" t="s">
        <v>268</v>
      </c>
      <c r="Y928" t="s">
        <v>573</v>
      </c>
      <c r="Z928" t="s">
        <v>573</v>
      </c>
      <c r="AA928">
        <v>0</v>
      </c>
      <c r="AB928" t="s">
        <v>238</v>
      </c>
      <c r="AC928" t="s">
        <v>143</v>
      </c>
      <c r="AD928" t="s">
        <v>40</v>
      </c>
      <c r="AE928" t="str">
        <f t="shared" si="256"/>
        <v>01</v>
      </c>
      <c r="AF928" t="s">
        <v>40</v>
      </c>
    </row>
    <row r="929" spans="1:32" x14ac:dyDescent="0.25">
      <c r="A929">
        <v>5</v>
      </c>
      <c r="B929">
        <v>240</v>
      </c>
      <c r="C929" t="str">
        <f t="shared" si="263"/>
        <v>35</v>
      </c>
      <c r="D929">
        <v>6341</v>
      </c>
      <c r="E929" t="str">
        <f t="shared" si="255"/>
        <v>00</v>
      </c>
      <c r="F929" t="str">
        <f t="shared" si="258"/>
        <v>999</v>
      </c>
      <c r="G929">
        <v>5</v>
      </c>
      <c r="H929" t="str">
        <f t="shared" si="264"/>
        <v>99</v>
      </c>
      <c r="I929" t="str">
        <f t="shared" si="253"/>
        <v>0</v>
      </c>
      <c r="J929" t="str">
        <f t="shared" si="262"/>
        <v>00</v>
      </c>
      <c r="K929">
        <v>20150123</v>
      </c>
      <c r="L929" t="str">
        <f t="shared" si="265"/>
        <v>014728</v>
      </c>
      <c r="M929" t="str">
        <f t="shared" si="266"/>
        <v>00410</v>
      </c>
      <c r="N929" t="s">
        <v>324</v>
      </c>
      <c r="O929">
        <v>358.15</v>
      </c>
      <c r="Q929" t="s">
        <v>33</v>
      </c>
      <c r="R929" t="s">
        <v>34</v>
      </c>
      <c r="S929" t="s">
        <v>35</v>
      </c>
      <c r="T929" t="s">
        <v>35</v>
      </c>
      <c r="U929" t="s">
        <v>34</v>
      </c>
      <c r="V929" t="str">
        <f>""</f>
        <v/>
      </c>
      <c r="W929">
        <v>20150121</v>
      </c>
      <c r="X929" t="s">
        <v>268</v>
      </c>
      <c r="Y929" t="s">
        <v>573</v>
      </c>
      <c r="Z929" t="s">
        <v>573</v>
      </c>
      <c r="AA929">
        <v>0</v>
      </c>
      <c r="AB929" t="s">
        <v>238</v>
      </c>
      <c r="AC929" t="s">
        <v>143</v>
      </c>
      <c r="AD929" t="s">
        <v>40</v>
      </c>
      <c r="AE929" t="str">
        <f t="shared" si="256"/>
        <v>01</v>
      </c>
      <c r="AF929" t="s">
        <v>40</v>
      </c>
    </row>
    <row r="930" spans="1:32" x14ac:dyDescent="0.25">
      <c r="A930">
        <v>5</v>
      </c>
      <c r="B930">
        <v>240</v>
      </c>
      <c r="C930" t="str">
        <f t="shared" si="263"/>
        <v>35</v>
      </c>
      <c r="D930">
        <v>6341</v>
      </c>
      <c r="E930" t="str">
        <f t="shared" si="255"/>
        <v>00</v>
      </c>
      <c r="F930" t="str">
        <f t="shared" si="258"/>
        <v>999</v>
      </c>
      <c r="G930">
        <v>5</v>
      </c>
      <c r="H930" t="str">
        <f t="shared" si="264"/>
        <v>99</v>
      </c>
      <c r="I930" t="str">
        <f t="shared" si="253"/>
        <v>0</v>
      </c>
      <c r="J930" t="str">
        <f t="shared" si="262"/>
        <v>00</v>
      </c>
      <c r="K930">
        <v>20150123</v>
      </c>
      <c r="L930" t="str">
        <f t="shared" si="265"/>
        <v>014728</v>
      </c>
      <c r="M930" t="str">
        <f t="shared" si="266"/>
        <v>00410</v>
      </c>
      <c r="N930" t="s">
        <v>324</v>
      </c>
      <c r="O930">
        <v>370.5</v>
      </c>
      <c r="Q930" t="s">
        <v>33</v>
      </c>
      <c r="R930" t="s">
        <v>34</v>
      </c>
      <c r="S930" t="s">
        <v>35</v>
      </c>
      <c r="T930" t="s">
        <v>35</v>
      </c>
      <c r="U930" t="s">
        <v>34</v>
      </c>
      <c r="V930" t="str">
        <f>""</f>
        <v/>
      </c>
      <c r="W930">
        <v>20150121</v>
      </c>
      <c r="X930" t="s">
        <v>268</v>
      </c>
      <c r="Y930" t="s">
        <v>573</v>
      </c>
      <c r="Z930" t="s">
        <v>573</v>
      </c>
      <c r="AA930">
        <v>0</v>
      </c>
      <c r="AB930" t="s">
        <v>238</v>
      </c>
      <c r="AC930" t="s">
        <v>143</v>
      </c>
      <c r="AD930" t="s">
        <v>40</v>
      </c>
      <c r="AE930" t="str">
        <f t="shared" si="256"/>
        <v>01</v>
      </c>
      <c r="AF930" t="s">
        <v>40</v>
      </c>
    </row>
    <row r="931" spans="1:32" x14ac:dyDescent="0.25">
      <c r="A931">
        <v>5</v>
      </c>
      <c r="B931">
        <v>240</v>
      </c>
      <c r="C931" t="str">
        <f t="shared" si="263"/>
        <v>35</v>
      </c>
      <c r="D931">
        <v>6341</v>
      </c>
      <c r="E931" t="str">
        <f t="shared" si="255"/>
        <v>00</v>
      </c>
      <c r="F931" t="str">
        <f t="shared" si="258"/>
        <v>999</v>
      </c>
      <c r="G931">
        <v>5</v>
      </c>
      <c r="H931" t="str">
        <f t="shared" si="264"/>
        <v>99</v>
      </c>
      <c r="I931" t="str">
        <f t="shared" si="253"/>
        <v>0</v>
      </c>
      <c r="J931" t="str">
        <f t="shared" si="262"/>
        <v>00</v>
      </c>
      <c r="K931">
        <v>20150123</v>
      </c>
      <c r="L931" t="str">
        <f t="shared" si="265"/>
        <v>014728</v>
      </c>
      <c r="M931" t="str">
        <f t="shared" si="266"/>
        <v>00410</v>
      </c>
      <c r="N931" t="s">
        <v>324</v>
      </c>
      <c r="O931">
        <v>49.4</v>
      </c>
      <c r="Q931" t="s">
        <v>33</v>
      </c>
      <c r="R931" t="s">
        <v>34</v>
      </c>
      <c r="S931" t="s">
        <v>35</v>
      </c>
      <c r="T931" t="s">
        <v>35</v>
      </c>
      <c r="U931" t="s">
        <v>34</v>
      </c>
      <c r="V931" t="str">
        <f>""</f>
        <v/>
      </c>
      <c r="W931">
        <v>20150121</v>
      </c>
      <c r="X931" t="s">
        <v>268</v>
      </c>
      <c r="Y931" t="s">
        <v>573</v>
      </c>
      <c r="Z931" t="s">
        <v>573</v>
      </c>
      <c r="AA931">
        <v>0</v>
      </c>
      <c r="AB931" t="s">
        <v>238</v>
      </c>
      <c r="AC931" t="s">
        <v>143</v>
      </c>
      <c r="AD931" t="s">
        <v>40</v>
      </c>
      <c r="AE931" t="str">
        <f t="shared" si="256"/>
        <v>01</v>
      </c>
      <c r="AF931" t="s">
        <v>40</v>
      </c>
    </row>
    <row r="932" spans="1:32" x14ac:dyDescent="0.25">
      <c r="A932">
        <v>5</v>
      </c>
      <c r="B932">
        <v>240</v>
      </c>
      <c r="C932" t="str">
        <f t="shared" si="263"/>
        <v>35</v>
      </c>
      <c r="D932">
        <v>6341</v>
      </c>
      <c r="E932" t="str">
        <f t="shared" si="255"/>
        <v>00</v>
      </c>
      <c r="F932" t="str">
        <f t="shared" si="258"/>
        <v>999</v>
      </c>
      <c r="G932">
        <v>5</v>
      </c>
      <c r="H932" t="str">
        <f t="shared" si="264"/>
        <v>99</v>
      </c>
      <c r="I932" t="str">
        <f t="shared" si="253"/>
        <v>0</v>
      </c>
      <c r="J932" t="str">
        <f t="shared" si="262"/>
        <v>00</v>
      </c>
      <c r="K932">
        <v>20150123</v>
      </c>
      <c r="L932" t="str">
        <f t="shared" si="265"/>
        <v>014728</v>
      </c>
      <c r="M932" t="str">
        <f t="shared" si="266"/>
        <v>00410</v>
      </c>
      <c r="N932" t="s">
        <v>324</v>
      </c>
      <c r="O932">
        <v>123.5</v>
      </c>
      <c r="Q932" t="s">
        <v>33</v>
      </c>
      <c r="R932" t="s">
        <v>34</v>
      </c>
      <c r="S932" t="s">
        <v>35</v>
      </c>
      <c r="T932" t="s">
        <v>35</v>
      </c>
      <c r="U932" t="s">
        <v>34</v>
      </c>
      <c r="V932" t="str">
        <f>""</f>
        <v/>
      </c>
      <c r="W932">
        <v>20150121</v>
      </c>
      <c r="X932" t="s">
        <v>268</v>
      </c>
      <c r="Y932" t="s">
        <v>573</v>
      </c>
      <c r="Z932" t="s">
        <v>573</v>
      </c>
      <c r="AA932">
        <v>0</v>
      </c>
      <c r="AB932" t="s">
        <v>238</v>
      </c>
      <c r="AC932" t="s">
        <v>143</v>
      </c>
      <c r="AD932" t="s">
        <v>40</v>
      </c>
      <c r="AE932" t="str">
        <f t="shared" si="256"/>
        <v>01</v>
      </c>
      <c r="AF932" t="s">
        <v>40</v>
      </c>
    </row>
    <row r="933" spans="1:32" x14ac:dyDescent="0.25">
      <c r="A933">
        <v>5</v>
      </c>
      <c r="B933">
        <v>420</v>
      </c>
      <c r="C933" t="str">
        <f>"11"</f>
        <v>11</v>
      </c>
      <c r="D933">
        <v>6219</v>
      </c>
      <c r="E933" t="str">
        <f t="shared" si="255"/>
        <v>00</v>
      </c>
      <c r="F933" t="str">
        <f t="shared" si="258"/>
        <v>999</v>
      </c>
      <c r="G933">
        <v>5</v>
      </c>
      <c r="H933" t="str">
        <f t="shared" ref="H933:H939" si="267">"11"</f>
        <v>11</v>
      </c>
      <c r="I933" t="str">
        <f t="shared" si="253"/>
        <v>0</v>
      </c>
      <c r="J933" t="str">
        <f t="shared" si="262"/>
        <v>00</v>
      </c>
      <c r="K933">
        <v>20150123</v>
      </c>
      <c r="L933" t="str">
        <f>"014729"</f>
        <v>014729</v>
      </c>
      <c r="M933" t="str">
        <f>"00813"</f>
        <v>00813</v>
      </c>
      <c r="N933" t="s">
        <v>656</v>
      </c>
      <c r="O933">
        <v>650</v>
      </c>
      <c r="Q933" t="s">
        <v>33</v>
      </c>
      <c r="R933" t="s">
        <v>34</v>
      </c>
      <c r="S933" t="s">
        <v>35</v>
      </c>
      <c r="T933" t="s">
        <v>35</v>
      </c>
      <c r="U933" t="s">
        <v>34</v>
      </c>
      <c r="V933" t="str">
        <f>""</f>
        <v/>
      </c>
      <c r="W933">
        <v>20150121</v>
      </c>
      <c r="X933" t="s">
        <v>166</v>
      </c>
      <c r="Y933" t="s">
        <v>657</v>
      </c>
      <c r="Z933" t="s">
        <v>657</v>
      </c>
      <c r="AA933">
        <v>0</v>
      </c>
      <c r="AB933" t="s">
        <v>142</v>
      </c>
      <c r="AC933" t="s">
        <v>143</v>
      </c>
      <c r="AD933" t="s">
        <v>40</v>
      </c>
      <c r="AE933" t="str">
        <f t="shared" si="256"/>
        <v>01</v>
      </c>
      <c r="AF933" t="s">
        <v>40</v>
      </c>
    </row>
    <row r="934" spans="1:32" x14ac:dyDescent="0.25">
      <c r="A934">
        <v>5</v>
      </c>
      <c r="B934">
        <v>420</v>
      </c>
      <c r="C934" t="str">
        <f t="shared" ref="C934:C939" si="268">"13"</f>
        <v>13</v>
      </c>
      <c r="D934">
        <v>6399</v>
      </c>
      <c r="E934" t="str">
        <f t="shared" si="255"/>
        <v>00</v>
      </c>
      <c r="F934" t="str">
        <f>"001"</f>
        <v>001</v>
      </c>
      <c r="G934">
        <v>5</v>
      </c>
      <c r="H934" t="str">
        <f t="shared" si="267"/>
        <v>11</v>
      </c>
      <c r="I934" t="str">
        <f t="shared" si="253"/>
        <v>0</v>
      </c>
      <c r="J934" t="str">
        <f t="shared" si="262"/>
        <v>00</v>
      </c>
      <c r="K934">
        <v>20150123</v>
      </c>
      <c r="L934" t="str">
        <f>"014730"</f>
        <v>014730</v>
      </c>
      <c r="M934" t="str">
        <f>"00291"</f>
        <v>00291</v>
      </c>
      <c r="N934" t="s">
        <v>658</v>
      </c>
      <c r="O934">
        <v>484.8</v>
      </c>
      <c r="Q934" t="s">
        <v>33</v>
      </c>
      <c r="R934" t="s">
        <v>34</v>
      </c>
      <c r="S934" t="s">
        <v>35</v>
      </c>
      <c r="T934" t="s">
        <v>35</v>
      </c>
      <c r="U934" t="s">
        <v>34</v>
      </c>
      <c r="V934" t="str">
        <f>""</f>
        <v/>
      </c>
      <c r="W934">
        <v>20150121</v>
      </c>
      <c r="X934" t="s">
        <v>390</v>
      </c>
      <c r="Y934" t="s">
        <v>659</v>
      </c>
      <c r="Z934" t="s">
        <v>659</v>
      </c>
      <c r="AA934">
        <v>0</v>
      </c>
      <c r="AB934" t="s">
        <v>142</v>
      </c>
      <c r="AC934" t="s">
        <v>41</v>
      </c>
      <c r="AD934" t="s">
        <v>40</v>
      </c>
      <c r="AE934" t="str">
        <f t="shared" si="256"/>
        <v>01</v>
      </c>
      <c r="AF934" t="s">
        <v>40</v>
      </c>
    </row>
    <row r="935" spans="1:32" x14ac:dyDescent="0.25">
      <c r="A935">
        <v>5</v>
      </c>
      <c r="B935">
        <v>420</v>
      </c>
      <c r="C935" t="str">
        <f t="shared" si="268"/>
        <v>13</v>
      </c>
      <c r="D935">
        <v>6399</v>
      </c>
      <c r="E935" t="str">
        <f t="shared" si="255"/>
        <v>00</v>
      </c>
      <c r="F935" t="str">
        <f>"041"</f>
        <v>041</v>
      </c>
      <c r="G935">
        <v>5</v>
      </c>
      <c r="H935" t="str">
        <f t="shared" si="267"/>
        <v>11</v>
      </c>
      <c r="I935" t="str">
        <f t="shared" si="253"/>
        <v>0</v>
      </c>
      <c r="J935" t="str">
        <f t="shared" si="262"/>
        <v>00</v>
      </c>
      <c r="K935">
        <v>20150123</v>
      </c>
      <c r="L935" t="str">
        <f>"014730"</f>
        <v>014730</v>
      </c>
      <c r="M935" t="str">
        <f>"00291"</f>
        <v>00291</v>
      </c>
      <c r="N935" t="s">
        <v>658</v>
      </c>
      <c r="O935">
        <v>484.8</v>
      </c>
      <c r="Q935" t="s">
        <v>33</v>
      </c>
      <c r="R935" t="s">
        <v>34</v>
      </c>
      <c r="S935" t="s">
        <v>35</v>
      </c>
      <c r="T935" t="s">
        <v>35</v>
      </c>
      <c r="U935" t="s">
        <v>34</v>
      </c>
      <c r="V935" t="str">
        <f>""</f>
        <v/>
      </c>
      <c r="W935">
        <v>20150121</v>
      </c>
      <c r="X935" t="s">
        <v>392</v>
      </c>
      <c r="Y935" t="s">
        <v>659</v>
      </c>
      <c r="Z935" t="s">
        <v>659</v>
      </c>
      <c r="AA935">
        <v>0</v>
      </c>
      <c r="AB935" t="s">
        <v>142</v>
      </c>
      <c r="AC935" t="s">
        <v>41</v>
      </c>
      <c r="AD935" t="s">
        <v>40</v>
      </c>
      <c r="AE935" t="str">
        <f t="shared" si="256"/>
        <v>01</v>
      </c>
      <c r="AF935" t="s">
        <v>40</v>
      </c>
    </row>
    <row r="936" spans="1:32" x14ac:dyDescent="0.25">
      <c r="A936">
        <v>5</v>
      </c>
      <c r="B936">
        <v>420</v>
      </c>
      <c r="C936" t="str">
        <f t="shared" si="268"/>
        <v>13</v>
      </c>
      <c r="D936">
        <v>6399</v>
      </c>
      <c r="E936" t="str">
        <f t="shared" si="255"/>
        <v>00</v>
      </c>
      <c r="F936" t="str">
        <f>"101"</f>
        <v>101</v>
      </c>
      <c r="G936">
        <v>5</v>
      </c>
      <c r="H936" t="str">
        <f t="shared" si="267"/>
        <v>11</v>
      </c>
      <c r="I936" t="str">
        <f t="shared" si="253"/>
        <v>0</v>
      </c>
      <c r="J936" t="str">
        <f t="shared" si="262"/>
        <v>00</v>
      </c>
      <c r="K936">
        <v>20150123</v>
      </c>
      <c r="L936" t="str">
        <f>"014730"</f>
        <v>014730</v>
      </c>
      <c r="M936" t="str">
        <f>"00291"</f>
        <v>00291</v>
      </c>
      <c r="N936" t="s">
        <v>658</v>
      </c>
      <c r="O936" s="1">
        <v>2060.4</v>
      </c>
      <c r="Q936" t="s">
        <v>33</v>
      </c>
      <c r="R936" t="s">
        <v>34</v>
      </c>
      <c r="S936" t="s">
        <v>35</v>
      </c>
      <c r="T936" t="s">
        <v>35</v>
      </c>
      <c r="U936" t="s">
        <v>34</v>
      </c>
      <c r="V936" t="str">
        <f>""</f>
        <v/>
      </c>
      <c r="W936">
        <v>20150121</v>
      </c>
      <c r="X936" t="s">
        <v>393</v>
      </c>
      <c r="Y936" t="s">
        <v>659</v>
      </c>
      <c r="Z936" t="s">
        <v>659</v>
      </c>
      <c r="AA936">
        <v>0</v>
      </c>
      <c r="AB936" t="s">
        <v>142</v>
      </c>
      <c r="AC936" t="s">
        <v>41</v>
      </c>
      <c r="AD936" t="s">
        <v>40</v>
      </c>
      <c r="AE936" t="str">
        <f t="shared" si="256"/>
        <v>01</v>
      </c>
      <c r="AF936" t="s">
        <v>40</v>
      </c>
    </row>
    <row r="937" spans="1:32" x14ac:dyDescent="0.25">
      <c r="A937">
        <v>5</v>
      </c>
      <c r="B937">
        <v>420</v>
      </c>
      <c r="C937" t="str">
        <f t="shared" si="268"/>
        <v>13</v>
      </c>
      <c r="D937">
        <v>6399</v>
      </c>
      <c r="E937" t="str">
        <f t="shared" si="255"/>
        <v>00</v>
      </c>
      <c r="F937" t="str">
        <f>"001"</f>
        <v>001</v>
      </c>
      <c r="G937">
        <v>5</v>
      </c>
      <c r="H937" t="str">
        <f t="shared" si="267"/>
        <v>11</v>
      </c>
      <c r="I937" t="str">
        <f t="shared" si="253"/>
        <v>0</v>
      </c>
      <c r="J937" t="str">
        <f t="shared" si="262"/>
        <v>00</v>
      </c>
      <c r="K937">
        <v>20150123</v>
      </c>
      <c r="L937" t="str">
        <f>"014731"</f>
        <v>014731</v>
      </c>
      <c r="M937" t="str">
        <f>"00301"</f>
        <v>00301</v>
      </c>
      <c r="N937" t="s">
        <v>660</v>
      </c>
      <c r="O937">
        <v>33.07</v>
      </c>
      <c r="Q937" t="s">
        <v>33</v>
      </c>
      <c r="R937" t="s">
        <v>34</v>
      </c>
      <c r="S937" t="s">
        <v>35</v>
      </c>
      <c r="T937" t="s">
        <v>35</v>
      </c>
      <c r="U937" t="s">
        <v>34</v>
      </c>
      <c r="V937" t="str">
        <f>""</f>
        <v/>
      </c>
      <c r="W937">
        <v>20150121</v>
      </c>
      <c r="X937" t="s">
        <v>390</v>
      </c>
      <c r="Y937" t="s">
        <v>661</v>
      </c>
      <c r="Z937" t="s">
        <v>661</v>
      </c>
      <c r="AA937">
        <v>0</v>
      </c>
      <c r="AB937" t="s">
        <v>142</v>
      </c>
      <c r="AC937" t="s">
        <v>41</v>
      </c>
      <c r="AD937" t="s">
        <v>40</v>
      </c>
      <c r="AE937" t="str">
        <f t="shared" si="256"/>
        <v>01</v>
      </c>
      <c r="AF937" t="s">
        <v>40</v>
      </c>
    </row>
    <row r="938" spans="1:32" x14ac:dyDescent="0.25">
      <c r="A938">
        <v>5</v>
      </c>
      <c r="B938">
        <v>420</v>
      </c>
      <c r="C938" t="str">
        <f t="shared" si="268"/>
        <v>13</v>
      </c>
      <c r="D938">
        <v>6399</v>
      </c>
      <c r="E938" t="str">
        <f t="shared" si="255"/>
        <v>00</v>
      </c>
      <c r="F938" t="str">
        <f>"041"</f>
        <v>041</v>
      </c>
      <c r="G938">
        <v>5</v>
      </c>
      <c r="H938" t="str">
        <f t="shared" si="267"/>
        <v>11</v>
      </c>
      <c r="I938" t="str">
        <f t="shared" si="253"/>
        <v>0</v>
      </c>
      <c r="J938" t="str">
        <f t="shared" si="262"/>
        <v>00</v>
      </c>
      <c r="K938">
        <v>20150123</v>
      </c>
      <c r="L938" t="str">
        <f>"014731"</f>
        <v>014731</v>
      </c>
      <c r="M938" t="str">
        <f>"00301"</f>
        <v>00301</v>
      </c>
      <c r="N938" t="s">
        <v>660</v>
      </c>
      <c r="O938">
        <v>57.43</v>
      </c>
      <c r="Q938" t="s">
        <v>33</v>
      </c>
      <c r="R938" t="s">
        <v>34</v>
      </c>
      <c r="S938" t="s">
        <v>35</v>
      </c>
      <c r="T938" t="s">
        <v>35</v>
      </c>
      <c r="U938" t="s">
        <v>34</v>
      </c>
      <c r="V938" t="str">
        <f>""</f>
        <v/>
      </c>
      <c r="W938">
        <v>20150121</v>
      </c>
      <c r="X938" t="s">
        <v>392</v>
      </c>
      <c r="Y938" t="s">
        <v>661</v>
      </c>
      <c r="Z938" t="s">
        <v>661</v>
      </c>
      <c r="AA938">
        <v>0</v>
      </c>
      <c r="AB938" t="s">
        <v>142</v>
      </c>
      <c r="AC938" t="s">
        <v>41</v>
      </c>
      <c r="AD938" t="s">
        <v>40</v>
      </c>
      <c r="AE938" t="str">
        <f t="shared" si="256"/>
        <v>01</v>
      </c>
      <c r="AF938" t="s">
        <v>40</v>
      </c>
    </row>
    <row r="939" spans="1:32" x14ac:dyDescent="0.25">
      <c r="A939">
        <v>5</v>
      </c>
      <c r="B939">
        <v>420</v>
      </c>
      <c r="C939" t="str">
        <f t="shared" si="268"/>
        <v>13</v>
      </c>
      <c r="D939">
        <v>6399</v>
      </c>
      <c r="E939" t="str">
        <f t="shared" si="255"/>
        <v>00</v>
      </c>
      <c r="F939" t="str">
        <f>"101"</f>
        <v>101</v>
      </c>
      <c r="G939">
        <v>5</v>
      </c>
      <c r="H939" t="str">
        <f t="shared" si="267"/>
        <v>11</v>
      </c>
      <c r="I939" t="str">
        <f t="shared" si="253"/>
        <v>0</v>
      </c>
      <c r="J939" t="str">
        <f t="shared" si="262"/>
        <v>00</v>
      </c>
      <c r="K939">
        <v>20150123</v>
      </c>
      <c r="L939" t="str">
        <f>"014731"</f>
        <v>014731</v>
      </c>
      <c r="M939" t="str">
        <f>"00301"</f>
        <v>00301</v>
      </c>
      <c r="N939" t="s">
        <v>660</v>
      </c>
      <c r="O939">
        <v>83.54</v>
      </c>
      <c r="Q939" t="s">
        <v>33</v>
      </c>
      <c r="R939" t="s">
        <v>34</v>
      </c>
      <c r="S939" t="s">
        <v>35</v>
      </c>
      <c r="T939" t="s">
        <v>35</v>
      </c>
      <c r="U939" t="s">
        <v>34</v>
      </c>
      <c r="V939" t="str">
        <f>""</f>
        <v/>
      </c>
      <c r="W939">
        <v>20150121</v>
      </c>
      <c r="X939" t="s">
        <v>393</v>
      </c>
      <c r="Y939" t="s">
        <v>661</v>
      </c>
      <c r="Z939" t="s">
        <v>661</v>
      </c>
      <c r="AA939">
        <v>0</v>
      </c>
      <c r="AB939" t="s">
        <v>142</v>
      </c>
      <c r="AC939" t="s">
        <v>41</v>
      </c>
      <c r="AD939" t="s">
        <v>40</v>
      </c>
      <c r="AE939" t="str">
        <f t="shared" si="256"/>
        <v>01</v>
      </c>
      <c r="AF939" t="s">
        <v>40</v>
      </c>
    </row>
    <row r="940" spans="1:32" x14ac:dyDescent="0.25">
      <c r="A940">
        <v>5</v>
      </c>
      <c r="B940">
        <v>211</v>
      </c>
      <c r="C940" t="str">
        <f t="shared" ref="C940:C946" si="269">"11"</f>
        <v>11</v>
      </c>
      <c r="D940">
        <v>6399</v>
      </c>
      <c r="E940" t="str">
        <f t="shared" si="255"/>
        <v>00</v>
      </c>
      <c r="F940" t="str">
        <f>"001"</f>
        <v>001</v>
      </c>
      <c r="G940">
        <v>5</v>
      </c>
      <c r="H940" t="str">
        <f>"30"</f>
        <v>30</v>
      </c>
      <c r="I940" t="str">
        <f t="shared" si="253"/>
        <v>0</v>
      </c>
      <c r="J940" t="str">
        <f t="shared" si="262"/>
        <v>00</v>
      </c>
      <c r="K940">
        <v>20150123</v>
      </c>
      <c r="L940" t="str">
        <f t="shared" ref="L940:L946" si="270">"014732"</f>
        <v>014732</v>
      </c>
      <c r="M940" t="str">
        <f t="shared" ref="M940:M946" si="271">"00701"</f>
        <v>00701</v>
      </c>
      <c r="N940" t="s">
        <v>120</v>
      </c>
      <c r="O940">
        <v>196.1</v>
      </c>
      <c r="Q940" t="s">
        <v>33</v>
      </c>
      <c r="R940" t="s">
        <v>34</v>
      </c>
      <c r="S940" t="s">
        <v>35</v>
      </c>
      <c r="T940" t="s">
        <v>35</v>
      </c>
      <c r="U940" t="s">
        <v>34</v>
      </c>
      <c r="V940" t="str">
        <f>""</f>
        <v/>
      </c>
      <c r="W940">
        <v>20150121</v>
      </c>
      <c r="X940" t="s">
        <v>623</v>
      </c>
      <c r="Y940" t="s">
        <v>418</v>
      </c>
      <c r="Z940" t="s">
        <v>418</v>
      </c>
      <c r="AA940">
        <v>0</v>
      </c>
      <c r="AB940" t="s">
        <v>174</v>
      </c>
      <c r="AC940" t="s">
        <v>41</v>
      </c>
      <c r="AD940" t="s">
        <v>40</v>
      </c>
      <c r="AE940" t="str">
        <f t="shared" si="256"/>
        <v>01</v>
      </c>
      <c r="AF940" t="s">
        <v>40</v>
      </c>
    </row>
    <row r="941" spans="1:32" x14ac:dyDescent="0.25">
      <c r="A941">
        <v>5</v>
      </c>
      <c r="B941">
        <v>211</v>
      </c>
      <c r="C941" t="str">
        <f t="shared" si="269"/>
        <v>11</v>
      </c>
      <c r="D941">
        <v>6399</v>
      </c>
      <c r="E941" t="str">
        <f t="shared" si="255"/>
        <v>00</v>
      </c>
      <c r="F941" t="str">
        <f>"041"</f>
        <v>041</v>
      </c>
      <c r="G941">
        <v>5</v>
      </c>
      <c r="H941" t="str">
        <f>"30"</f>
        <v>30</v>
      </c>
      <c r="I941" t="str">
        <f t="shared" si="253"/>
        <v>0</v>
      </c>
      <c r="J941" t="str">
        <f t="shared" si="262"/>
        <v>00</v>
      </c>
      <c r="K941">
        <v>20150123</v>
      </c>
      <c r="L941" t="str">
        <f t="shared" si="270"/>
        <v>014732</v>
      </c>
      <c r="M941" t="str">
        <f t="shared" si="271"/>
        <v>00701</v>
      </c>
      <c r="N941" t="s">
        <v>120</v>
      </c>
      <c r="O941">
        <v>196.1</v>
      </c>
      <c r="Q941" t="s">
        <v>33</v>
      </c>
      <c r="R941" t="s">
        <v>34</v>
      </c>
      <c r="S941" t="s">
        <v>35</v>
      </c>
      <c r="T941" t="s">
        <v>35</v>
      </c>
      <c r="U941" t="s">
        <v>34</v>
      </c>
      <c r="V941" t="str">
        <f>""</f>
        <v/>
      </c>
      <c r="W941">
        <v>20150121</v>
      </c>
      <c r="X941" t="s">
        <v>417</v>
      </c>
      <c r="Y941" t="s">
        <v>418</v>
      </c>
      <c r="Z941" t="s">
        <v>418</v>
      </c>
      <c r="AA941">
        <v>0</v>
      </c>
      <c r="AB941" t="s">
        <v>174</v>
      </c>
      <c r="AC941" t="s">
        <v>41</v>
      </c>
      <c r="AD941" t="s">
        <v>40</v>
      </c>
      <c r="AE941" t="str">
        <f t="shared" si="256"/>
        <v>01</v>
      </c>
      <c r="AF941" t="s">
        <v>40</v>
      </c>
    </row>
    <row r="942" spans="1:32" x14ac:dyDescent="0.25">
      <c r="A942">
        <v>5</v>
      </c>
      <c r="B942">
        <v>420</v>
      </c>
      <c r="C942" t="str">
        <f t="shared" si="269"/>
        <v>11</v>
      </c>
      <c r="D942">
        <v>6339</v>
      </c>
      <c r="E942" t="str">
        <f t="shared" si="255"/>
        <v>00</v>
      </c>
      <c r="F942" t="str">
        <f>"001"</f>
        <v>001</v>
      </c>
      <c r="G942">
        <v>5</v>
      </c>
      <c r="H942" t="str">
        <f>"11"</f>
        <v>11</v>
      </c>
      <c r="I942" t="str">
        <f t="shared" si="253"/>
        <v>0</v>
      </c>
      <c r="J942" t="str">
        <f t="shared" si="262"/>
        <v>00</v>
      </c>
      <c r="K942">
        <v>20150123</v>
      </c>
      <c r="L942" t="str">
        <f t="shared" si="270"/>
        <v>014732</v>
      </c>
      <c r="M942" t="str">
        <f t="shared" si="271"/>
        <v>00701</v>
      </c>
      <c r="N942" t="s">
        <v>120</v>
      </c>
      <c r="O942">
        <v>190.92</v>
      </c>
      <c r="Q942" t="s">
        <v>33</v>
      </c>
      <c r="R942" t="s">
        <v>34</v>
      </c>
      <c r="S942" t="s">
        <v>35</v>
      </c>
      <c r="T942" t="s">
        <v>35</v>
      </c>
      <c r="U942" t="s">
        <v>34</v>
      </c>
      <c r="V942" t="str">
        <f>""</f>
        <v/>
      </c>
      <c r="W942">
        <v>20150121</v>
      </c>
      <c r="X942" t="s">
        <v>662</v>
      </c>
      <c r="Y942" t="s">
        <v>663</v>
      </c>
      <c r="Z942" t="s">
        <v>663</v>
      </c>
      <c r="AA942">
        <v>0</v>
      </c>
      <c r="AB942" t="s">
        <v>142</v>
      </c>
      <c r="AC942" t="s">
        <v>41</v>
      </c>
      <c r="AD942" t="s">
        <v>40</v>
      </c>
      <c r="AE942" t="str">
        <f t="shared" si="256"/>
        <v>01</v>
      </c>
      <c r="AF942" t="s">
        <v>40</v>
      </c>
    </row>
    <row r="943" spans="1:32" x14ac:dyDescent="0.25">
      <c r="A943">
        <v>5</v>
      </c>
      <c r="B943">
        <v>420</v>
      </c>
      <c r="C943" t="str">
        <f t="shared" si="269"/>
        <v>11</v>
      </c>
      <c r="D943">
        <v>6399</v>
      </c>
      <c r="E943" t="str">
        <f t="shared" si="255"/>
        <v>00</v>
      </c>
      <c r="F943" t="str">
        <f>"001"</f>
        <v>001</v>
      </c>
      <c r="G943">
        <v>5</v>
      </c>
      <c r="H943" t="str">
        <f>"11"</f>
        <v>11</v>
      </c>
      <c r="I943" t="str">
        <f t="shared" si="253"/>
        <v>0</v>
      </c>
      <c r="J943" t="str">
        <f t="shared" si="262"/>
        <v>00</v>
      </c>
      <c r="K943">
        <v>20150123</v>
      </c>
      <c r="L943" t="str">
        <f t="shared" si="270"/>
        <v>014732</v>
      </c>
      <c r="M943" t="str">
        <f t="shared" si="271"/>
        <v>00701</v>
      </c>
      <c r="N943" t="s">
        <v>120</v>
      </c>
      <c r="O943">
        <v>9.66</v>
      </c>
      <c r="Q943" t="s">
        <v>33</v>
      </c>
      <c r="R943" t="s">
        <v>34</v>
      </c>
      <c r="S943" t="s">
        <v>35</v>
      </c>
      <c r="T943" t="s">
        <v>35</v>
      </c>
      <c r="U943" t="s">
        <v>34</v>
      </c>
      <c r="V943" t="str">
        <f>""</f>
        <v/>
      </c>
      <c r="W943">
        <v>20150121</v>
      </c>
      <c r="X943" t="s">
        <v>239</v>
      </c>
      <c r="Y943" t="s">
        <v>418</v>
      </c>
      <c r="Z943" t="s">
        <v>418</v>
      </c>
      <c r="AA943">
        <v>0</v>
      </c>
      <c r="AB943" t="s">
        <v>142</v>
      </c>
      <c r="AC943" t="s">
        <v>41</v>
      </c>
      <c r="AD943" t="s">
        <v>40</v>
      </c>
      <c r="AE943" t="str">
        <f t="shared" si="256"/>
        <v>01</v>
      </c>
      <c r="AF943" t="s">
        <v>40</v>
      </c>
    </row>
    <row r="944" spans="1:32" x14ac:dyDescent="0.25">
      <c r="A944">
        <v>5</v>
      </c>
      <c r="B944">
        <v>420</v>
      </c>
      <c r="C944" t="str">
        <f t="shared" si="269"/>
        <v>11</v>
      </c>
      <c r="D944">
        <v>6399</v>
      </c>
      <c r="E944" t="str">
        <f t="shared" si="255"/>
        <v>00</v>
      </c>
      <c r="F944" t="str">
        <f>"041"</f>
        <v>041</v>
      </c>
      <c r="G944">
        <v>5</v>
      </c>
      <c r="H944" t="str">
        <f>"11"</f>
        <v>11</v>
      </c>
      <c r="I944" t="str">
        <f t="shared" si="253"/>
        <v>0</v>
      </c>
      <c r="J944" t="str">
        <f t="shared" si="262"/>
        <v>00</v>
      </c>
      <c r="K944">
        <v>20150123</v>
      </c>
      <c r="L944" t="str">
        <f t="shared" si="270"/>
        <v>014732</v>
      </c>
      <c r="M944" t="str">
        <f t="shared" si="271"/>
        <v>00701</v>
      </c>
      <c r="N944" t="s">
        <v>120</v>
      </c>
      <c r="O944">
        <v>9.66</v>
      </c>
      <c r="Q944" t="s">
        <v>33</v>
      </c>
      <c r="R944" t="s">
        <v>34</v>
      </c>
      <c r="S944" t="s">
        <v>35</v>
      </c>
      <c r="T944" t="s">
        <v>35</v>
      </c>
      <c r="U944" t="s">
        <v>34</v>
      </c>
      <c r="V944" t="str">
        <f>""</f>
        <v/>
      </c>
      <c r="W944">
        <v>20150121</v>
      </c>
      <c r="X944" t="s">
        <v>241</v>
      </c>
      <c r="Y944" t="s">
        <v>418</v>
      </c>
      <c r="Z944" t="s">
        <v>418</v>
      </c>
      <c r="AA944">
        <v>0</v>
      </c>
      <c r="AB944" t="s">
        <v>142</v>
      </c>
      <c r="AC944" t="s">
        <v>41</v>
      </c>
      <c r="AD944" t="s">
        <v>40</v>
      </c>
      <c r="AE944" t="str">
        <f t="shared" si="256"/>
        <v>01</v>
      </c>
      <c r="AF944" t="s">
        <v>40</v>
      </c>
    </row>
    <row r="945" spans="1:32" x14ac:dyDescent="0.25">
      <c r="A945">
        <v>5</v>
      </c>
      <c r="B945">
        <v>420</v>
      </c>
      <c r="C945" t="str">
        <f t="shared" si="269"/>
        <v>11</v>
      </c>
      <c r="D945">
        <v>6399</v>
      </c>
      <c r="E945" t="str">
        <f t="shared" si="255"/>
        <v>00</v>
      </c>
      <c r="F945" t="str">
        <f>"041"</f>
        <v>041</v>
      </c>
      <c r="G945">
        <v>5</v>
      </c>
      <c r="H945" t="str">
        <f>"11"</f>
        <v>11</v>
      </c>
      <c r="I945" t="str">
        <f t="shared" si="253"/>
        <v>0</v>
      </c>
      <c r="J945" t="str">
        <f t="shared" si="262"/>
        <v>00</v>
      </c>
      <c r="K945">
        <v>20150123</v>
      </c>
      <c r="L945" t="str">
        <f t="shared" si="270"/>
        <v>014732</v>
      </c>
      <c r="M945" t="str">
        <f t="shared" si="271"/>
        <v>00701</v>
      </c>
      <c r="N945" t="s">
        <v>120</v>
      </c>
      <c r="O945">
        <v>-38.159999999999997</v>
      </c>
      <c r="Q945" t="s">
        <v>33</v>
      </c>
      <c r="R945" t="s">
        <v>34</v>
      </c>
      <c r="S945" t="s">
        <v>35</v>
      </c>
      <c r="T945" t="s">
        <v>35</v>
      </c>
      <c r="U945" t="s">
        <v>34</v>
      </c>
      <c r="V945" t="s">
        <v>110</v>
      </c>
      <c r="W945">
        <v>20150121</v>
      </c>
      <c r="X945" t="s">
        <v>241</v>
      </c>
      <c r="Y945" t="s">
        <v>664</v>
      </c>
      <c r="Z945" t="s">
        <v>664</v>
      </c>
      <c r="AA945">
        <v>0</v>
      </c>
      <c r="AB945" t="s">
        <v>142</v>
      </c>
      <c r="AC945" t="s">
        <v>41</v>
      </c>
      <c r="AD945" t="s">
        <v>112</v>
      </c>
      <c r="AE945" t="str">
        <f t="shared" si="256"/>
        <v>01</v>
      </c>
      <c r="AF945" t="s">
        <v>40</v>
      </c>
    </row>
    <row r="946" spans="1:32" x14ac:dyDescent="0.25">
      <c r="A946">
        <v>5</v>
      </c>
      <c r="B946">
        <v>420</v>
      </c>
      <c r="C946" t="str">
        <f t="shared" si="269"/>
        <v>11</v>
      </c>
      <c r="D946">
        <v>6399</v>
      </c>
      <c r="E946" t="str">
        <f t="shared" si="255"/>
        <v>00</v>
      </c>
      <c r="F946" t="str">
        <f>"041"</f>
        <v>041</v>
      </c>
      <c r="G946">
        <v>5</v>
      </c>
      <c r="H946" t="str">
        <f>"11"</f>
        <v>11</v>
      </c>
      <c r="I946" t="str">
        <f t="shared" si="253"/>
        <v>0</v>
      </c>
      <c r="J946" t="str">
        <f t="shared" si="262"/>
        <v>00</v>
      </c>
      <c r="K946">
        <v>20150123</v>
      </c>
      <c r="L946" t="str">
        <f t="shared" si="270"/>
        <v>014732</v>
      </c>
      <c r="M946" t="str">
        <f t="shared" si="271"/>
        <v>00701</v>
      </c>
      <c r="N946" t="s">
        <v>120</v>
      </c>
      <c r="O946">
        <v>-11.4</v>
      </c>
      <c r="Q946" t="s">
        <v>33</v>
      </c>
      <c r="R946" t="s">
        <v>34</v>
      </c>
      <c r="S946" t="s">
        <v>35</v>
      </c>
      <c r="T946" t="s">
        <v>35</v>
      </c>
      <c r="U946" t="s">
        <v>34</v>
      </c>
      <c r="V946" t="s">
        <v>110</v>
      </c>
      <c r="W946">
        <v>20150121</v>
      </c>
      <c r="X946" t="s">
        <v>241</v>
      </c>
      <c r="Y946" t="s">
        <v>664</v>
      </c>
      <c r="Z946" t="s">
        <v>664</v>
      </c>
      <c r="AA946">
        <v>0</v>
      </c>
      <c r="AB946" t="s">
        <v>142</v>
      </c>
      <c r="AC946" t="s">
        <v>41</v>
      </c>
      <c r="AD946" t="s">
        <v>112</v>
      </c>
      <c r="AE946" t="str">
        <f t="shared" si="256"/>
        <v>01</v>
      </c>
      <c r="AF946" t="s">
        <v>40</v>
      </c>
    </row>
    <row r="947" spans="1:32" x14ac:dyDescent="0.25">
      <c r="A947">
        <v>5</v>
      </c>
      <c r="B947">
        <v>240</v>
      </c>
      <c r="C947" t="str">
        <f t="shared" ref="C947:C954" si="272">"35"</f>
        <v>35</v>
      </c>
      <c r="D947">
        <v>6341</v>
      </c>
      <c r="E947" t="str">
        <f t="shared" si="255"/>
        <v>00</v>
      </c>
      <c r="F947" t="str">
        <f t="shared" ref="F947:F956" si="273">"999"</f>
        <v>999</v>
      </c>
      <c r="G947">
        <v>5</v>
      </c>
      <c r="H947" t="str">
        <f t="shared" ref="H947:H954" si="274">"99"</f>
        <v>99</v>
      </c>
      <c r="I947" t="str">
        <f t="shared" si="253"/>
        <v>0</v>
      </c>
      <c r="J947" t="str">
        <f t="shared" si="262"/>
        <v>00</v>
      </c>
      <c r="K947">
        <v>20150123</v>
      </c>
      <c r="L947" t="str">
        <f t="shared" ref="L947:L954" si="275">"014733"</f>
        <v>014733</v>
      </c>
      <c r="M947" t="str">
        <f t="shared" ref="M947:M954" si="276">"00391"</f>
        <v>00391</v>
      </c>
      <c r="N947" t="s">
        <v>265</v>
      </c>
      <c r="O947">
        <v>162.47</v>
      </c>
      <c r="Q947" t="s">
        <v>33</v>
      </c>
      <c r="R947" t="s">
        <v>34</v>
      </c>
      <c r="S947" t="s">
        <v>35</v>
      </c>
      <c r="T947" t="s">
        <v>35</v>
      </c>
      <c r="U947" t="s">
        <v>34</v>
      </c>
      <c r="V947" t="str">
        <f>""</f>
        <v/>
      </c>
      <c r="W947">
        <v>20150121</v>
      </c>
      <c r="X947" t="s">
        <v>268</v>
      </c>
      <c r="Y947" t="s">
        <v>557</v>
      </c>
      <c r="Z947" t="s">
        <v>557</v>
      </c>
      <c r="AA947">
        <v>0</v>
      </c>
      <c r="AB947" t="s">
        <v>238</v>
      </c>
      <c r="AC947" t="s">
        <v>143</v>
      </c>
      <c r="AD947" t="s">
        <v>40</v>
      </c>
      <c r="AE947" t="str">
        <f t="shared" si="256"/>
        <v>01</v>
      </c>
      <c r="AF947" t="s">
        <v>40</v>
      </c>
    </row>
    <row r="948" spans="1:32" x14ac:dyDescent="0.25">
      <c r="A948">
        <v>5</v>
      </c>
      <c r="B948">
        <v>240</v>
      </c>
      <c r="C948" t="str">
        <f t="shared" si="272"/>
        <v>35</v>
      </c>
      <c r="D948">
        <v>6341</v>
      </c>
      <c r="E948" t="str">
        <f t="shared" si="255"/>
        <v>00</v>
      </c>
      <c r="F948" t="str">
        <f t="shared" si="273"/>
        <v>999</v>
      </c>
      <c r="G948">
        <v>5</v>
      </c>
      <c r="H948" t="str">
        <f t="shared" si="274"/>
        <v>99</v>
      </c>
      <c r="I948" t="str">
        <f t="shared" si="253"/>
        <v>0</v>
      </c>
      <c r="J948" t="str">
        <f t="shared" si="262"/>
        <v>00</v>
      </c>
      <c r="K948">
        <v>20150123</v>
      </c>
      <c r="L948" t="str">
        <f t="shared" si="275"/>
        <v>014733</v>
      </c>
      <c r="M948" t="str">
        <f t="shared" si="276"/>
        <v>00391</v>
      </c>
      <c r="N948" t="s">
        <v>265</v>
      </c>
      <c r="O948">
        <v>76.319999999999993</v>
      </c>
      <c r="Q948" t="s">
        <v>33</v>
      </c>
      <c r="R948" t="s">
        <v>34</v>
      </c>
      <c r="S948" t="s">
        <v>35</v>
      </c>
      <c r="T948" t="s">
        <v>35</v>
      </c>
      <c r="U948" t="s">
        <v>34</v>
      </c>
      <c r="V948" t="str">
        <f>""</f>
        <v/>
      </c>
      <c r="W948">
        <v>20150121</v>
      </c>
      <c r="X948" t="s">
        <v>268</v>
      </c>
      <c r="Y948" t="s">
        <v>557</v>
      </c>
      <c r="Z948" t="s">
        <v>557</v>
      </c>
      <c r="AA948">
        <v>0</v>
      </c>
      <c r="AB948" t="s">
        <v>238</v>
      </c>
      <c r="AC948" t="s">
        <v>143</v>
      </c>
      <c r="AD948" t="s">
        <v>40</v>
      </c>
      <c r="AE948" t="str">
        <f t="shared" si="256"/>
        <v>01</v>
      </c>
      <c r="AF948" t="s">
        <v>40</v>
      </c>
    </row>
    <row r="949" spans="1:32" x14ac:dyDescent="0.25">
      <c r="A949">
        <v>5</v>
      </c>
      <c r="B949">
        <v>240</v>
      </c>
      <c r="C949" t="str">
        <f t="shared" si="272"/>
        <v>35</v>
      </c>
      <c r="D949">
        <v>6341</v>
      </c>
      <c r="E949" t="str">
        <f t="shared" si="255"/>
        <v>00</v>
      </c>
      <c r="F949" t="str">
        <f t="shared" si="273"/>
        <v>999</v>
      </c>
      <c r="G949">
        <v>5</v>
      </c>
      <c r="H949" t="str">
        <f t="shared" si="274"/>
        <v>99</v>
      </c>
      <c r="I949" t="str">
        <f t="shared" si="253"/>
        <v>0</v>
      </c>
      <c r="J949" t="str">
        <f t="shared" si="262"/>
        <v>00</v>
      </c>
      <c r="K949">
        <v>20150123</v>
      </c>
      <c r="L949" t="str">
        <f t="shared" si="275"/>
        <v>014733</v>
      </c>
      <c r="M949" t="str">
        <f t="shared" si="276"/>
        <v>00391</v>
      </c>
      <c r="N949" t="s">
        <v>265</v>
      </c>
      <c r="O949">
        <v>379.84</v>
      </c>
      <c r="Q949" t="s">
        <v>33</v>
      </c>
      <c r="R949" t="s">
        <v>34</v>
      </c>
      <c r="S949" t="s">
        <v>35</v>
      </c>
      <c r="T949" t="s">
        <v>35</v>
      </c>
      <c r="U949" t="s">
        <v>34</v>
      </c>
      <c r="V949" t="str">
        <f>""</f>
        <v/>
      </c>
      <c r="W949">
        <v>20150121</v>
      </c>
      <c r="X949" t="s">
        <v>268</v>
      </c>
      <c r="Y949" t="s">
        <v>557</v>
      </c>
      <c r="Z949" t="s">
        <v>557</v>
      </c>
      <c r="AA949">
        <v>0</v>
      </c>
      <c r="AB949" t="s">
        <v>238</v>
      </c>
      <c r="AC949" t="s">
        <v>143</v>
      </c>
      <c r="AD949" t="s">
        <v>40</v>
      </c>
      <c r="AE949" t="str">
        <f t="shared" si="256"/>
        <v>01</v>
      </c>
      <c r="AF949" t="s">
        <v>40</v>
      </c>
    </row>
    <row r="950" spans="1:32" x14ac:dyDescent="0.25">
      <c r="A950">
        <v>5</v>
      </c>
      <c r="B950">
        <v>240</v>
      </c>
      <c r="C950" t="str">
        <f t="shared" si="272"/>
        <v>35</v>
      </c>
      <c r="D950">
        <v>6341</v>
      </c>
      <c r="E950" t="str">
        <f t="shared" si="255"/>
        <v>00</v>
      </c>
      <c r="F950" t="str">
        <f t="shared" si="273"/>
        <v>999</v>
      </c>
      <c r="G950">
        <v>5</v>
      </c>
      <c r="H950" t="str">
        <f t="shared" si="274"/>
        <v>99</v>
      </c>
      <c r="I950" t="str">
        <f t="shared" si="253"/>
        <v>0</v>
      </c>
      <c r="J950" t="str">
        <f t="shared" si="262"/>
        <v>00</v>
      </c>
      <c r="K950">
        <v>20150123</v>
      </c>
      <c r="L950" t="str">
        <f t="shared" si="275"/>
        <v>014733</v>
      </c>
      <c r="M950" t="str">
        <f t="shared" si="276"/>
        <v>00391</v>
      </c>
      <c r="N950" t="s">
        <v>265</v>
      </c>
      <c r="O950">
        <v>395.01</v>
      </c>
      <c r="Q950" t="s">
        <v>33</v>
      </c>
      <c r="R950" t="s">
        <v>34</v>
      </c>
      <c r="S950" t="s">
        <v>35</v>
      </c>
      <c r="T950" t="s">
        <v>35</v>
      </c>
      <c r="U950" t="s">
        <v>34</v>
      </c>
      <c r="V950" t="str">
        <f>""</f>
        <v/>
      </c>
      <c r="W950">
        <v>20150121</v>
      </c>
      <c r="X950" t="s">
        <v>268</v>
      </c>
      <c r="Y950" t="s">
        <v>557</v>
      </c>
      <c r="Z950" t="s">
        <v>557</v>
      </c>
      <c r="AA950">
        <v>0</v>
      </c>
      <c r="AB950" t="s">
        <v>238</v>
      </c>
      <c r="AC950" t="s">
        <v>143</v>
      </c>
      <c r="AD950" t="s">
        <v>40</v>
      </c>
      <c r="AE950" t="str">
        <f t="shared" si="256"/>
        <v>01</v>
      </c>
      <c r="AF950" t="s">
        <v>40</v>
      </c>
    </row>
    <row r="951" spans="1:32" x14ac:dyDescent="0.25">
      <c r="A951">
        <v>5</v>
      </c>
      <c r="B951">
        <v>240</v>
      </c>
      <c r="C951" t="str">
        <f t="shared" si="272"/>
        <v>35</v>
      </c>
      <c r="D951">
        <v>6341</v>
      </c>
      <c r="E951" t="str">
        <f t="shared" si="255"/>
        <v>00</v>
      </c>
      <c r="F951" t="str">
        <f t="shared" si="273"/>
        <v>999</v>
      </c>
      <c r="G951">
        <v>5</v>
      </c>
      <c r="H951" t="str">
        <f t="shared" si="274"/>
        <v>99</v>
      </c>
      <c r="I951" t="str">
        <f t="shared" si="253"/>
        <v>0</v>
      </c>
      <c r="J951" t="str">
        <f t="shared" si="262"/>
        <v>00</v>
      </c>
      <c r="K951">
        <v>20150123</v>
      </c>
      <c r="L951" t="str">
        <f t="shared" si="275"/>
        <v>014733</v>
      </c>
      <c r="M951" t="str">
        <f t="shared" si="276"/>
        <v>00391</v>
      </c>
      <c r="N951" t="s">
        <v>265</v>
      </c>
      <c r="O951" s="1">
        <v>3332.46</v>
      </c>
      <c r="Q951" t="s">
        <v>33</v>
      </c>
      <c r="R951" t="s">
        <v>34</v>
      </c>
      <c r="S951" t="s">
        <v>35</v>
      </c>
      <c r="T951" t="s">
        <v>35</v>
      </c>
      <c r="U951" t="s">
        <v>34</v>
      </c>
      <c r="V951" t="str">
        <f>""</f>
        <v/>
      </c>
      <c r="W951">
        <v>20150121</v>
      </c>
      <c r="X951" t="s">
        <v>268</v>
      </c>
      <c r="Y951" t="s">
        <v>557</v>
      </c>
      <c r="Z951" t="s">
        <v>557</v>
      </c>
      <c r="AA951">
        <v>0</v>
      </c>
      <c r="AB951" t="s">
        <v>238</v>
      </c>
      <c r="AC951" t="s">
        <v>143</v>
      </c>
      <c r="AD951" t="s">
        <v>40</v>
      </c>
      <c r="AE951" t="str">
        <f t="shared" si="256"/>
        <v>01</v>
      </c>
      <c r="AF951" t="s">
        <v>40</v>
      </c>
    </row>
    <row r="952" spans="1:32" x14ac:dyDescent="0.25">
      <c r="A952">
        <v>5</v>
      </c>
      <c r="B952">
        <v>240</v>
      </c>
      <c r="C952" t="str">
        <f t="shared" si="272"/>
        <v>35</v>
      </c>
      <c r="D952">
        <v>6342</v>
      </c>
      <c r="E952" t="str">
        <f t="shared" si="255"/>
        <v>00</v>
      </c>
      <c r="F952" t="str">
        <f t="shared" si="273"/>
        <v>999</v>
      </c>
      <c r="G952">
        <v>5</v>
      </c>
      <c r="H952" t="str">
        <f t="shared" si="274"/>
        <v>99</v>
      </c>
      <c r="I952" t="str">
        <f t="shared" si="253"/>
        <v>0</v>
      </c>
      <c r="J952" t="str">
        <f t="shared" si="262"/>
        <v>00</v>
      </c>
      <c r="K952">
        <v>20150123</v>
      </c>
      <c r="L952" t="str">
        <f t="shared" si="275"/>
        <v>014733</v>
      </c>
      <c r="M952" t="str">
        <f t="shared" si="276"/>
        <v>00391</v>
      </c>
      <c r="N952" t="s">
        <v>265</v>
      </c>
      <c r="O952">
        <v>352.82</v>
      </c>
      <c r="Q952" t="s">
        <v>33</v>
      </c>
      <c r="R952" t="s">
        <v>34</v>
      </c>
      <c r="S952" t="s">
        <v>35</v>
      </c>
      <c r="T952" t="s">
        <v>35</v>
      </c>
      <c r="U952" t="s">
        <v>34</v>
      </c>
      <c r="V952" t="str">
        <f>""</f>
        <v/>
      </c>
      <c r="W952">
        <v>20150121</v>
      </c>
      <c r="X952" t="s">
        <v>269</v>
      </c>
      <c r="Y952" t="s">
        <v>557</v>
      </c>
      <c r="Z952" t="s">
        <v>557</v>
      </c>
      <c r="AA952">
        <v>0</v>
      </c>
      <c r="AB952" t="s">
        <v>238</v>
      </c>
      <c r="AC952" t="s">
        <v>143</v>
      </c>
      <c r="AD952" t="s">
        <v>40</v>
      </c>
      <c r="AE952" t="str">
        <f t="shared" si="256"/>
        <v>01</v>
      </c>
      <c r="AF952" t="s">
        <v>40</v>
      </c>
    </row>
    <row r="953" spans="1:32" x14ac:dyDescent="0.25">
      <c r="A953">
        <v>5</v>
      </c>
      <c r="B953">
        <v>240</v>
      </c>
      <c r="C953" t="str">
        <f t="shared" si="272"/>
        <v>35</v>
      </c>
      <c r="D953">
        <v>6342</v>
      </c>
      <c r="E953" t="str">
        <f t="shared" si="255"/>
        <v>00</v>
      </c>
      <c r="F953" t="str">
        <f t="shared" si="273"/>
        <v>999</v>
      </c>
      <c r="G953">
        <v>5</v>
      </c>
      <c r="H953" t="str">
        <f t="shared" si="274"/>
        <v>99</v>
      </c>
      <c r="I953" t="str">
        <f t="shared" si="253"/>
        <v>0</v>
      </c>
      <c r="J953" t="str">
        <f t="shared" si="262"/>
        <v>00</v>
      </c>
      <c r="K953">
        <v>20150123</v>
      </c>
      <c r="L953" t="str">
        <f t="shared" si="275"/>
        <v>014733</v>
      </c>
      <c r="M953" t="str">
        <f t="shared" si="276"/>
        <v>00391</v>
      </c>
      <c r="N953" t="s">
        <v>265</v>
      </c>
      <c r="O953">
        <v>102.09</v>
      </c>
      <c r="Q953" t="s">
        <v>33</v>
      </c>
      <c r="R953" t="s">
        <v>34</v>
      </c>
      <c r="S953" t="s">
        <v>35</v>
      </c>
      <c r="T953" t="s">
        <v>35</v>
      </c>
      <c r="U953" t="s">
        <v>34</v>
      </c>
      <c r="V953" t="str">
        <f>""</f>
        <v/>
      </c>
      <c r="W953">
        <v>20150121</v>
      </c>
      <c r="X953" t="s">
        <v>269</v>
      </c>
      <c r="Y953" t="s">
        <v>557</v>
      </c>
      <c r="Z953" t="s">
        <v>557</v>
      </c>
      <c r="AA953">
        <v>0</v>
      </c>
      <c r="AB953" t="s">
        <v>238</v>
      </c>
      <c r="AC953" t="s">
        <v>143</v>
      </c>
      <c r="AD953" t="s">
        <v>40</v>
      </c>
      <c r="AE953" t="str">
        <f t="shared" si="256"/>
        <v>01</v>
      </c>
      <c r="AF953" t="s">
        <v>40</v>
      </c>
    </row>
    <row r="954" spans="1:32" x14ac:dyDescent="0.25">
      <c r="A954">
        <v>5</v>
      </c>
      <c r="B954">
        <v>240</v>
      </c>
      <c r="C954" t="str">
        <f t="shared" si="272"/>
        <v>35</v>
      </c>
      <c r="D954">
        <v>6349</v>
      </c>
      <c r="E954" t="str">
        <f t="shared" si="255"/>
        <v>00</v>
      </c>
      <c r="F954" t="str">
        <f t="shared" si="273"/>
        <v>999</v>
      </c>
      <c r="G954">
        <v>5</v>
      </c>
      <c r="H954" t="str">
        <f t="shared" si="274"/>
        <v>99</v>
      </c>
      <c r="I954" t="str">
        <f t="shared" si="253"/>
        <v>0</v>
      </c>
      <c r="J954" t="str">
        <f t="shared" si="262"/>
        <v>00</v>
      </c>
      <c r="K954">
        <v>20150123</v>
      </c>
      <c r="L954" t="str">
        <f t="shared" si="275"/>
        <v>014733</v>
      </c>
      <c r="M954" t="str">
        <f t="shared" si="276"/>
        <v>00391</v>
      </c>
      <c r="N954" t="s">
        <v>265</v>
      </c>
      <c r="O954">
        <v>131.22999999999999</v>
      </c>
      <c r="Q954" t="s">
        <v>33</v>
      </c>
      <c r="R954" t="s">
        <v>34</v>
      </c>
      <c r="S954" t="s">
        <v>35</v>
      </c>
      <c r="T954" t="s">
        <v>35</v>
      </c>
      <c r="U954" t="s">
        <v>34</v>
      </c>
      <c r="V954" t="str">
        <f>""</f>
        <v/>
      </c>
      <c r="W954">
        <v>20150121</v>
      </c>
      <c r="X954" t="s">
        <v>236</v>
      </c>
      <c r="Y954" t="s">
        <v>557</v>
      </c>
      <c r="Z954" t="s">
        <v>557</v>
      </c>
      <c r="AA954">
        <v>0</v>
      </c>
      <c r="AB954" t="s">
        <v>238</v>
      </c>
      <c r="AC954" t="s">
        <v>143</v>
      </c>
      <c r="AD954" t="s">
        <v>40</v>
      </c>
      <c r="AE954" t="str">
        <f t="shared" si="256"/>
        <v>01</v>
      </c>
      <c r="AF954" t="s">
        <v>40</v>
      </c>
    </row>
    <row r="955" spans="1:32" x14ac:dyDescent="0.25">
      <c r="A955">
        <v>5</v>
      </c>
      <c r="B955">
        <v>420</v>
      </c>
      <c r="C955" t="str">
        <f>"36"</f>
        <v>36</v>
      </c>
      <c r="D955">
        <v>6219</v>
      </c>
      <c r="E955" t="str">
        <f t="shared" si="255"/>
        <v>00</v>
      </c>
      <c r="F955" t="str">
        <f t="shared" si="273"/>
        <v>999</v>
      </c>
      <c r="G955">
        <v>5</v>
      </c>
      <c r="H955" t="str">
        <f>"91"</f>
        <v>91</v>
      </c>
      <c r="I955" t="str">
        <f t="shared" si="253"/>
        <v>0</v>
      </c>
      <c r="J955" t="str">
        <f t="shared" si="262"/>
        <v>00</v>
      </c>
      <c r="K955">
        <v>20150123</v>
      </c>
      <c r="L955" t="str">
        <f>"014734"</f>
        <v>014734</v>
      </c>
      <c r="M955" t="str">
        <f>"00822"</f>
        <v>00822</v>
      </c>
      <c r="N955" t="s">
        <v>665</v>
      </c>
      <c r="O955">
        <v>70</v>
      </c>
      <c r="Q955" t="s">
        <v>33</v>
      </c>
      <c r="R955" t="s">
        <v>34</v>
      </c>
      <c r="S955" t="s">
        <v>35</v>
      </c>
      <c r="T955" t="s">
        <v>35</v>
      </c>
      <c r="U955" t="s">
        <v>34</v>
      </c>
      <c r="V955" t="str">
        <f>""</f>
        <v/>
      </c>
      <c r="W955">
        <v>20150121</v>
      </c>
      <c r="X955" t="s">
        <v>186</v>
      </c>
      <c r="Y955" t="s">
        <v>653</v>
      </c>
      <c r="Z955" t="s">
        <v>653</v>
      </c>
      <c r="AA955">
        <v>0</v>
      </c>
      <c r="AB955" t="s">
        <v>142</v>
      </c>
      <c r="AC955" t="s">
        <v>143</v>
      </c>
      <c r="AD955" t="s">
        <v>40</v>
      </c>
      <c r="AE955" t="str">
        <f t="shared" si="256"/>
        <v>01</v>
      </c>
      <c r="AF955" t="s">
        <v>40</v>
      </c>
    </row>
    <row r="956" spans="1:32" x14ac:dyDescent="0.25">
      <c r="A956">
        <v>5</v>
      </c>
      <c r="B956">
        <v>420</v>
      </c>
      <c r="C956" t="str">
        <f>"51"</f>
        <v>51</v>
      </c>
      <c r="D956">
        <v>6259</v>
      </c>
      <c r="E956" t="str">
        <f>"54"</f>
        <v>54</v>
      </c>
      <c r="F956" t="str">
        <f t="shared" si="273"/>
        <v>999</v>
      </c>
      <c r="G956">
        <v>5</v>
      </c>
      <c r="H956" t="str">
        <f t="shared" ref="H956:H961" si="277">"99"</f>
        <v>99</v>
      </c>
      <c r="I956" t="str">
        <f t="shared" si="253"/>
        <v>0</v>
      </c>
      <c r="J956" t="str">
        <f t="shared" si="262"/>
        <v>00</v>
      </c>
      <c r="K956">
        <v>20150123</v>
      </c>
      <c r="L956" t="str">
        <f>"014735"</f>
        <v>014735</v>
      </c>
      <c r="M956" t="str">
        <f>"00581"</f>
        <v>00581</v>
      </c>
      <c r="N956" t="s">
        <v>248</v>
      </c>
      <c r="O956">
        <v>481.48</v>
      </c>
      <c r="Q956" t="s">
        <v>33</v>
      </c>
      <c r="R956" t="s">
        <v>34</v>
      </c>
      <c r="S956" t="s">
        <v>35</v>
      </c>
      <c r="T956" t="s">
        <v>35</v>
      </c>
      <c r="U956" t="s">
        <v>34</v>
      </c>
      <c r="V956" t="str">
        <f>""</f>
        <v/>
      </c>
      <c r="W956">
        <v>20150121</v>
      </c>
      <c r="X956" t="s">
        <v>216</v>
      </c>
      <c r="Y956" t="s">
        <v>542</v>
      </c>
      <c r="Z956" t="s">
        <v>542</v>
      </c>
      <c r="AA956">
        <v>0</v>
      </c>
      <c r="AB956" t="s">
        <v>142</v>
      </c>
      <c r="AC956" t="s">
        <v>143</v>
      </c>
      <c r="AD956" t="s">
        <v>40</v>
      </c>
      <c r="AE956" t="str">
        <f t="shared" si="256"/>
        <v>01</v>
      </c>
      <c r="AF956" t="s">
        <v>40</v>
      </c>
    </row>
    <row r="957" spans="1:32" x14ac:dyDescent="0.25">
      <c r="A957">
        <v>5</v>
      </c>
      <c r="B957">
        <v>420</v>
      </c>
      <c r="C957" t="str">
        <f>"41"</f>
        <v>41</v>
      </c>
      <c r="D957">
        <v>6219</v>
      </c>
      <c r="E957" t="str">
        <f>"00"</f>
        <v>00</v>
      </c>
      <c r="F957" t="str">
        <f>"750"</f>
        <v>750</v>
      </c>
      <c r="G957">
        <v>5</v>
      </c>
      <c r="H957" t="str">
        <f t="shared" si="277"/>
        <v>99</v>
      </c>
      <c r="I957" t="str">
        <f t="shared" si="253"/>
        <v>0</v>
      </c>
      <c r="J957" t="str">
        <f t="shared" si="262"/>
        <v>00</v>
      </c>
      <c r="K957">
        <v>20150123</v>
      </c>
      <c r="L957" t="str">
        <f>"014736"</f>
        <v>014736</v>
      </c>
      <c r="M957" t="str">
        <f>"00678"</f>
        <v>00678</v>
      </c>
      <c r="N957" t="s">
        <v>270</v>
      </c>
      <c r="O957" s="1">
        <v>1420.42</v>
      </c>
      <c r="Q957" t="s">
        <v>33</v>
      </c>
      <c r="R957" t="s">
        <v>34</v>
      </c>
      <c r="S957" t="s">
        <v>35</v>
      </c>
      <c r="T957" t="s">
        <v>35</v>
      </c>
      <c r="U957" t="s">
        <v>34</v>
      </c>
      <c r="V957" t="str">
        <f>""</f>
        <v/>
      </c>
      <c r="W957">
        <v>20150121</v>
      </c>
      <c r="X957" t="s">
        <v>255</v>
      </c>
      <c r="Y957" t="s">
        <v>519</v>
      </c>
      <c r="Z957" t="s">
        <v>519</v>
      </c>
      <c r="AA957">
        <v>0</v>
      </c>
      <c r="AB957" t="s">
        <v>142</v>
      </c>
      <c r="AC957" t="s">
        <v>170</v>
      </c>
      <c r="AD957" t="s">
        <v>40</v>
      </c>
      <c r="AE957" t="str">
        <f t="shared" si="256"/>
        <v>01</v>
      </c>
      <c r="AF957" t="s">
        <v>40</v>
      </c>
    </row>
    <row r="958" spans="1:32" x14ac:dyDescent="0.25">
      <c r="A958">
        <v>5</v>
      </c>
      <c r="B958">
        <v>420</v>
      </c>
      <c r="C958" t="str">
        <f>"51"</f>
        <v>51</v>
      </c>
      <c r="D958">
        <v>6259</v>
      </c>
      <c r="E958" t="str">
        <f>"54"</f>
        <v>54</v>
      </c>
      <c r="F958" t="str">
        <f>"999"</f>
        <v>999</v>
      </c>
      <c r="G958">
        <v>5</v>
      </c>
      <c r="H958" t="str">
        <f t="shared" si="277"/>
        <v>99</v>
      </c>
      <c r="I958" t="str">
        <f t="shared" si="253"/>
        <v>0</v>
      </c>
      <c r="J958" t="str">
        <f t="shared" si="262"/>
        <v>00</v>
      </c>
      <c r="K958">
        <v>20150123</v>
      </c>
      <c r="L958" t="str">
        <f>"014737"</f>
        <v>014737</v>
      </c>
      <c r="M958" t="str">
        <f>"00591"</f>
        <v>00591</v>
      </c>
      <c r="N958" t="s">
        <v>272</v>
      </c>
      <c r="O958" s="1">
        <v>2172.16</v>
      </c>
      <c r="Q958" t="s">
        <v>33</v>
      </c>
      <c r="R958" t="s">
        <v>34</v>
      </c>
      <c r="S958" t="s">
        <v>35</v>
      </c>
      <c r="T958" t="s">
        <v>35</v>
      </c>
      <c r="U958" t="s">
        <v>34</v>
      </c>
      <c r="V958" t="str">
        <f>""</f>
        <v/>
      </c>
      <c r="W958">
        <v>20150121</v>
      </c>
      <c r="X958" t="s">
        <v>216</v>
      </c>
      <c r="Y958" t="s">
        <v>542</v>
      </c>
      <c r="Z958" t="s">
        <v>542</v>
      </c>
      <c r="AA958">
        <v>0</v>
      </c>
      <c r="AB958" t="s">
        <v>142</v>
      </c>
      <c r="AC958" t="s">
        <v>143</v>
      </c>
      <c r="AD958" t="s">
        <v>40</v>
      </c>
      <c r="AE958" t="str">
        <f t="shared" si="256"/>
        <v>01</v>
      </c>
      <c r="AF958" t="s">
        <v>40</v>
      </c>
    </row>
    <row r="959" spans="1:32" x14ac:dyDescent="0.25">
      <c r="A959">
        <v>5</v>
      </c>
      <c r="B959">
        <v>420</v>
      </c>
      <c r="C959" t="str">
        <f>"52"</f>
        <v>52</v>
      </c>
      <c r="D959">
        <v>6219</v>
      </c>
      <c r="E959" t="str">
        <f t="shared" ref="E959:E990" si="278">"00"</f>
        <v>00</v>
      </c>
      <c r="F959" t="str">
        <f>"999"</f>
        <v>999</v>
      </c>
      <c r="G959">
        <v>5</v>
      </c>
      <c r="H959" t="str">
        <f t="shared" si="277"/>
        <v>99</v>
      </c>
      <c r="I959" t="str">
        <f t="shared" si="253"/>
        <v>0</v>
      </c>
      <c r="J959" t="str">
        <f t="shared" si="262"/>
        <v>00</v>
      </c>
      <c r="K959">
        <v>20150123</v>
      </c>
      <c r="L959" t="str">
        <f>"014738"</f>
        <v>014738</v>
      </c>
      <c r="M959" t="str">
        <f>"00821"</f>
        <v>00821</v>
      </c>
      <c r="N959" t="s">
        <v>666</v>
      </c>
      <c r="O959" s="1">
        <v>6187.5</v>
      </c>
      <c r="Q959" t="s">
        <v>33</v>
      </c>
      <c r="R959" t="s">
        <v>34</v>
      </c>
      <c r="S959" t="s">
        <v>35</v>
      </c>
      <c r="T959" t="s">
        <v>35</v>
      </c>
      <c r="U959" t="s">
        <v>34</v>
      </c>
      <c r="V959" t="str">
        <f>""</f>
        <v/>
      </c>
      <c r="W959">
        <v>20150121</v>
      </c>
      <c r="X959" t="s">
        <v>208</v>
      </c>
      <c r="Y959" t="s">
        <v>667</v>
      </c>
      <c r="Z959" t="s">
        <v>667</v>
      </c>
      <c r="AA959">
        <v>0</v>
      </c>
      <c r="AB959" t="s">
        <v>142</v>
      </c>
      <c r="AC959" t="s">
        <v>143</v>
      </c>
      <c r="AD959" t="s">
        <v>40</v>
      </c>
      <c r="AE959" t="str">
        <f t="shared" si="256"/>
        <v>01</v>
      </c>
      <c r="AF959" t="s">
        <v>40</v>
      </c>
    </row>
    <row r="960" spans="1:32" x14ac:dyDescent="0.25">
      <c r="A960">
        <v>5</v>
      </c>
      <c r="B960">
        <v>420</v>
      </c>
      <c r="C960" t="str">
        <f>"52"</f>
        <v>52</v>
      </c>
      <c r="D960">
        <v>6399</v>
      </c>
      <c r="E960" t="str">
        <f t="shared" si="278"/>
        <v>00</v>
      </c>
      <c r="F960" t="str">
        <f>"999"</f>
        <v>999</v>
      </c>
      <c r="G960">
        <v>5</v>
      </c>
      <c r="H960" t="str">
        <f t="shared" si="277"/>
        <v>99</v>
      </c>
      <c r="I960" t="str">
        <f t="shared" si="253"/>
        <v>0</v>
      </c>
      <c r="J960" t="str">
        <f t="shared" si="262"/>
        <v>00</v>
      </c>
      <c r="K960">
        <v>20150123</v>
      </c>
      <c r="L960" t="str">
        <f>"014738"</f>
        <v>014738</v>
      </c>
      <c r="M960" t="str">
        <f>"00821"</f>
        <v>00821</v>
      </c>
      <c r="N960" t="s">
        <v>666</v>
      </c>
      <c r="O960" s="1">
        <v>17812.5</v>
      </c>
      <c r="Q960" t="s">
        <v>33</v>
      </c>
      <c r="R960" t="s">
        <v>34</v>
      </c>
      <c r="S960" t="s">
        <v>35</v>
      </c>
      <c r="T960" t="s">
        <v>35</v>
      </c>
      <c r="U960" t="s">
        <v>34</v>
      </c>
      <c r="V960" t="str">
        <f>""</f>
        <v/>
      </c>
      <c r="W960">
        <v>20150121</v>
      </c>
      <c r="X960" t="s">
        <v>436</v>
      </c>
      <c r="Y960" t="s">
        <v>667</v>
      </c>
      <c r="Z960" t="s">
        <v>667</v>
      </c>
      <c r="AA960">
        <v>0</v>
      </c>
      <c r="AB960" t="s">
        <v>142</v>
      </c>
      <c r="AC960" t="s">
        <v>143</v>
      </c>
      <c r="AD960" t="s">
        <v>40</v>
      </c>
      <c r="AE960" t="str">
        <f t="shared" si="256"/>
        <v>01</v>
      </c>
      <c r="AF960" t="s">
        <v>40</v>
      </c>
    </row>
    <row r="961" spans="1:32" x14ac:dyDescent="0.25">
      <c r="A961">
        <v>5</v>
      </c>
      <c r="B961">
        <v>420</v>
      </c>
      <c r="C961" t="str">
        <f>"51"</f>
        <v>51</v>
      </c>
      <c r="D961">
        <v>6299</v>
      </c>
      <c r="E961" t="str">
        <f t="shared" si="278"/>
        <v>00</v>
      </c>
      <c r="F961" t="str">
        <f>"999"</f>
        <v>999</v>
      </c>
      <c r="G961">
        <v>5</v>
      </c>
      <c r="H961" t="str">
        <f t="shared" si="277"/>
        <v>99</v>
      </c>
      <c r="I961" t="str">
        <f t="shared" si="253"/>
        <v>0</v>
      </c>
      <c r="J961" t="str">
        <f t="shared" si="262"/>
        <v>00</v>
      </c>
      <c r="K961">
        <v>20150123</v>
      </c>
      <c r="L961" t="str">
        <f>"014739"</f>
        <v>014739</v>
      </c>
      <c r="M961" t="str">
        <f>"00577"</f>
        <v>00577</v>
      </c>
      <c r="N961" t="s">
        <v>251</v>
      </c>
      <c r="O961">
        <v>63.72</v>
      </c>
      <c r="Q961" t="s">
        <v>33</v>
      </c>
      <c r="R961" t="s">
        <v>34</v>
      </c>
      <c r="S961" t="s">
        <v>35</v>
      </c>
      <c r="T961" t="s">
        <v>35</v>
      </c>
      <c r="U961" t="s">
        <v>34</v>
      </c>
      <c r="V961" t="str">
        <f>""</f>
        <v/>
      </c>
      <c r="W961">
        <v>20150121</v>
      </c>
      <c r="X961" t="s">
        <v>203</v>
      </c>
      <c r="Y961" t="s">
        <v>253</v>
      </c>
      <c r="Z961" t="s">
        <v>253</v>
      </c>
      <c r="AA961">
        <v>0</v>
      </c>
      <c r="AB961" t="s">
        <v>142</v>
      </c>
      <c r="AC961" t="s">
        <v>143</v>
      </c>
      <c r="AD961" t="s">
        <v>40</v>
      </c>
      <c r="AE961" t="str">
        <f t="shared" si="256"/>
        <v>01</v>
      </c>
      <c r="AF961" t="s">
        <v>40</v>
      </c>
    </row>
    <row r="962" spans="1:32" x14ac:dyDescent="0.25">
      <c r="A962">
        <v>5</v>
      </c>
      <c r="B962">
        <v>211</v>
      </c>
      <c r="C962" t="str">
        <f>"11"</f>
        <v>11</v>
      </c>
      <c r="D962">
        <v>6399</v>
      </c>
      <c r="E962" t="str">
        <f t="shared" si="278"/>
        <v>00</v>
      </c>
      <c r="F962" t="str">
        <f>"101"</f>
        <v>101</v>
      </c>
      <c r="G962">
        <v>5</v>
      </c>
      <c r="H962" t="str">
        <f>"30"</f>
        <v>30</v>
      </c>
      <c r="I962" t="str">
        <f t="shared" ref="I962:I1025" si="279">"0"</f>
        <v>0</v>
      </c>
      <c r="J962" t="str">
        <f t="shared" si="262"/>
        <v>00</v>
      </c>
      <c r="K962">
        <v>20150123</v>
      </c>
      <c r="L962" t="str">
        <f>"014740"</f>
        <v>014740</v>
      </c>
      <c r="M962" t="str">
        <f>"00548"</f>
        <v>00548</v>
      </c>
      <c r="N962" t="s">
        <v>167</v>
      </c>
      <c r="O962">
        <v>305.3</v>
      </c>
      <c r="Q962" t="s">
        <v>33</v>
      </c>
      <c r="R962" t="s">
        <v>34</v>
      </c>
      <c r="S962" t="s">
        <v>35</v>
      </c>
      <c r="T962" t="s">
        <v>35</v>
      </c>
      <c r="U962" t="s">
        <v>34</v>
      </c>
      <c r="V962" t="str">
        <f>""</f>
        <v/>
      </c>
      <c r="W962">
        <v>20150121</v>
      </c>
      <c r="X962" t="s">
        <v>422</v>
      </c>
      <c r="Y962" t="s">
        <v>418</v>
      </c>
      <c r="Z962" t="s">
        <v>418</v>
      </c>
      <c r="AA962">
        <v>0</v>
      </c>
      <c r="AB962" t="s">
        <v>174</v>
      </c>
      <c r="AC962" t="s">
        <v>41</v>
      </c>
      <c r="AD962" t="s">
        <v>40</v>
      </c>
      <c r="AE962" t="str">
        <f t="shared" si="256"/>
        <v>01</v>
      </c>
      <c r="AF962" t="s">
        <v>40</v>
      </c>
    </row>
    <row r="963" spans="1:32" x14ac:dyDescent="0.25">
      <c r="A963">
        <v>5</v>
      </c>
      <c r="B963">
        <v>420</v>
      </c>
      <c r="C963" t="str">
        <f>"11"</f>
        <v>11</v>
      </c>
      <c r="D963">
        <v>6399</v>
      </c>
      <c r="E963" t="str">
        <f t="shared" si="278"/>
        <v>00</v>
      </c>
      <c r="F963" t="str">
        <f>"101"</f>
        <v>101</v>
      </c>
      <c r="G963">
        <v>5</v>
      </c>
      <c r="H963" t="str">
        <f>"11"</f>
        <v>11</v>
      </c>
      <c r="I963" t="str">
        <f t="shared" si="279"/>
        <v>0</v>
      </c>
      <c r="J963" t="str">
        <f t="shared" si="262"/>
        <v>00</v>
      </c>
      <c r="K963">
        <v>20150123</v>
      </c>
      <c r="L963" t="str">
        <f>"014740"</f>
        <v>014740</v>
      </c>
      <c r="M963" t="str">
        <f>"00548"</f>
        <v>00548</v>
      </c>
      <c r="N963" t="s">
        <v>167</v>
      </c>
      <c r="O963">
        <v>22.99</v>
      </c>
      <c r="Q963" t="s">
        <v>33</v>
      </c>
      <c r="R963" t="s">
        <v>34</v>
      </c>
      <c r="S963" t="s">
        <v>35</v>
      </c>
      <c r="T963" t="s">
        <v>35</v>
      </c>
      <c r="U963" t="s">
        <v>34</v>
      </c>
      <c r="V963" t="str">
        <f>""</f>
        <v/>
      </c>
      <c r="W963">
        <v>20150121</v>
      </c>
      <c r="X963" t="s">
        <v>246</v>
      </c>
      <c r="Y963" t="s">
        <v>418</v>
      </c>
      <c r="Z963" t="s">
        <v>418</v>
      </c>
      <c r="AA963">
        <v>0</v>
      </c>
      <c r="AB963" t="s">
        <v>142</v>
      </c>
      <c r="AC963" t="s">
        <v>41</v>
      </c>
      <c r="AD963" t="s">
        <v>40</v>
      </c>
      <c r="AE963" t="str">
        <f t="shared" si="256"/>
        <v>01</v>
      </c>
      <c r="AF963" t="s">
        <v>40</v>
      </c>
    </row>
    <row r="964" spans="1:32" x14ac:dyDescent="0.25">
      <c r="A964">
        <v>5</v>
      </c>
      <c r="B964">
        <v>420</v>
      </c>
      <c r="C964" t="str">
        <f t="shared" ref="C964:C973" si="280">"00"</f>
        <v>00</v>
      </c>
      <c r="D964">
        <v>2153</v>
      </c>
      <c r="E964" t="str">
        <f t="shared" si="278"/>
        <v>00</v>
      </c>
      <c r="F964" t="str">
        <f>"008"</f>
        <v>008</v>
      </c>
      <c r="G964">
        <v>5</v>
      </c>
      <c r="H964" t="str">
        <f t="shared" ref="H964:H973" si="281">"00"</f>
        <v>00</v>
      </c>
      <c r="I964" t="str">
        <f t="shared" si="279"/>
        <v>0</v>
      </c>
      <c r="J964" t="str">
        <f t="shared" si="262"/>
        <v>00</v>
      </c>
      <c r="K964">
        <v>20150126</v>
      </c>
      <c r="L964" t="str">
        <f>"014741"</f>
        <v>014741</v>
      </c>
      <c r="M964" t="str">
        <f>"00012"</f>
        <v>00012</v>
      </c>
      <c r="N964" t="s">
        <v>279</v>
      </c>
      <c r="O964">
        <v>445.94</v>
      </c>
      <c r="Q964" t="s">
        <v>33</v>
      </c>
      <c r="R964" t="s">
        <v>34</v>
      </c>
      <c r="S964" t="s">
        <v>35</v>
      </c>
      <c r="T964" t="s">
        <v>35</v>
      </c>
      <c r="U964" t="s">
        <v>34</v>
      </c>
      <c r="V964" t="str">
        <f>""</f>
        <v/>
      </c>
      <c r="W964">
        <v>20150126</v>
      </c>
      <c r="X964" t="s">
        <v>280</v>
      </c>
      <c r="Y964" t="s">
        <v>668</v>
      </c>
      <c r="Z964" t="s">
        <v>668</v>
      </c>
      <c r="AA964">
        <v>0</v>
      </c>
      <c r="AB964" t="s">
        <v>142</v>
      </c>
      <c r="AC964" t="s">
        <v>282</v>
      </c>
      <c r="AD964" t="s">
        <v>144</v>
      </c>
      <c r="AE964" t="str">
        <f t="shared" si="256"/>
        <v>01</v>
      </c>
      <c r="AF964" t="s">
        <v>40</v>
      </c>
    </row>
    <row r="965" spans="1:32" x14ac:dyDescent="0.25">
      <c r="A965">
        <v>5</v>
      </c>
      <c r="B965">
        <v>420</v>
      </c>
      <c r="C965" t="str">
        <f t="shared" si="280"/>
        <v>00</v>
      </c>
      <c r="D965">
        <v>2159</v>
      </c>
      <c r="E965" t="str">
        <f t="shared" si="278"/>
        <v>00</v>
      </c>
      <c r="F965" t="str">
        <f>"009"</f>
        <v>009</v>
      </c>
      <c r="G965">
        <v>5</v>
      </c>
      <c r="H965" t="str">
        <f t="shared" si="281"/>
        <v>00</v>
      </c>
      <c r="I965" t="str">
        <f t="shared" si="279"/>
        <v>0</v>
      </c>
      <c r="J965" t="str">
        <f t="shared" si="262"/>
        <v>00</v>
      </c>
      <c r="K965">
        <v>20150126</v>
      </c>
      <c r="L965" t="str">
        <f>"014741"</f>
        <v>014741</v>
      </c>
      <c r="M965" t="str">
        <f>"00012"</f>
        <v>00012</v>
      </c>
      <c r="N965" t="s">
        <v>279</v>
      </c>
      <c r="O965">
        <v>415.21</v>
      </c>
      <c r="Q965" t="s">
        <v>33</v>
      </c>
      <c r="R965" t="s">
        <v>34</v>
      </c>
      <c r="S965" t="s">
        <v>35</v>
      </c>
      <c r="T965" t="s">
        <v>35</v>
      </c>
      <c r="U965" t="s">
        <v>34</v>
      </c>
      <c r="V965" t="str">
        <f>""</f>
        <v/>
      </c>
      <c r="W965">
        <v>20150126</v>
      </c>
      <c r="X965" t="s">
        <v>283</v>
      </c>
      <c r="Y965" t="s">
        <v>669</v>
      </c>
      <c r="Z965" t="s">
        <v>669</v>
      </c>
      <c r="AA965">
        <v>0</v>
      </c>
      <c r="AB965" t="s">
        <v>142</v>
      </c>
      <c r="AC965" t="s">
        <v>285</v>
      </c>
      <c r="AD965" t="s">
        <v>144</v>
      </c>
      <c r="AE965" t="str">
        <f t="shared" si="256"/>
        <v>01</v>
      </c>
      <c r="AF965" t="s">
        <v>40</v>
      </c>
    </row>
    <row r="966" spans="1:32" x14ac:dyDescent="0.25">
      <c r="A966">
        <v>5</v>
      </c>
      <c r="B966">
        <v>420</v>
      </c>
      <c r="C966" t="str">
        <f t="shared" si="280"/>
        <v>00</v>
      </c>
      <c r="D966">
        <v>2153</v>
      </c>
      <c r="E966" t="str">
        <f t="shared" si="278"/>
        <v>00</v>
      </c>
      <c r="F966" t="str">
        <f>"005"</f>
        <v>005</v>
      </c>
      <c r="G966">
        <v>5</v>
      </c>
      <c r="H966" t="str">
        <f t="shared" si="281"/>
        <v>00</v>
      </c>
      <c r="I966" t="str">
        <f t="shared" si="279"/>
        <v>0</v>
      </c>
      <c r="J966" t="str">
        <f t="shared" si="262"/>
        <v>00</v>
      </c>
      <c r="K966">
        <v>20150126</v>
      </c>
      <c r="L966" t="str">
        <f>"014742"</f>
        <v>014742</v>
      </c>
      <c r="M966" t="str">
        <f>"00226"</f>
        <v>00226</v>
      </c>
      <c r="N966" t="s">
        <v>286</v>
      </c>
      <c r="O966">
        <v>830.83</v>
      </c>
      <c r="Q966" t="s">
        <v>33</v>
      </c>
      <c r="R966" t="s">
        <v>34</v>
      </c>
      <c r="S966" t="s">
        <v>35</v>
      </c>
      <c r="T966" t="s">
        <v>35</v>
      </c>
      <c r="U966" t="s">
        <v>34</v>
      </c>
      <c r="V966" t="str">
        <f>""</f>
        <v/>
      </c>
      <c r="W966">
        <v>20150126</v>
      </c>
      <c r="X966" t="s">
        <v>287</v>
      </c>
      <c r="Y966" t="s">
        <v>668</v>
      </c>
      <c r="Z966" t="s">
        <v>668</v>
      </c>
      <c r="AA966">
        <v>0</v>
      </c>
      <c r="AB966" t="s">
        <v>142</v>
      </c>
      <c r="AC966" t="s">
        <v>288</v>
      </c>
      <c r="AD966" t="s">
        <v>144</v>
      </c>
      <c r="AE966" t="str">
        <f t="shared" si="256"/>
        <v>01</v>
      </c>
      <c r="AF966" t="s">
        <v>40</v>
      </c>
    </row>
    <row r="967" spans="1:32" x14ac:dyDescent="0.25">
      <c r="A967">
        <v>5</v>
      </c>
      <c r="B967">
        <v>420</v>
      </c>
      <c r="C967" t="str">
        <f t="shared" si="280"/>
        <v>00</v>
      </c>
      <c r="D967">
        <v>2153</v>
      </c>
      <c r="E967" t="str">
        <f t="shared" si="278"/>
        <v>00</v>
      </c>
      <c r="F967" t="str">
        <f>"006"</f>
        <v>006</v>
      </c>
      <c r="G967">
        <v>5</v>
      </c>
      <c r="H967" t="str">
        <f t="shared" si="281"/>
        <v>00</v>
      </c>
      <c r="I967" t="str">
        <f t="shared" si="279"/>
        <v>0</v>
      </c>
      <c r="J967" t="str">
        <f t="shared" si="262"/>
        <v>00</v>
      </c>
      <c r="K967">
        <v>20150126</v>
      </c>
      <c r="L967" t="str">
        <f>"014742"</f>
        <v>014742</v>
      </c>
      <c r="M967" t="str">
        <f>"00226"</f>
        <v>00226</v>
      </c>
      <c r="N967" t="s">
        <v>286</v>
      </c>
      <c r="O967">
        <v>147.19999999999999</v>
      </c>
      <c r="Q967" t="s">
        <v>33</v>
      </c>
      <c r="R967" t="s">
        <v>34</v>
      </c>
      <c r="S967" t="s">
        <v>35</v>
      </c>
      <c r="T967" t="s">
        <v>35</v>
      </c>
      <c r="U967" t="s">
        <v>34</v>
      </c>
      <c r="V967" t="str">
        <f>""</f>
        <v/>
      </c>
      <c r="W967">
        <v>20150126</v>
      </c>
      <c r="X967" t="s">
        <v>289</v>
      </c>
      <c r="Y967" t="s">
        <v>668</v>
      </c>
      <c r="Z967" t="s">
        <v>668</v>
      </c>
      <c r="AA967">
        <v>0</v>
      </c>
      <c r="AB967" t="s">
        <v>142</v>
      </c>
      <c r="AC967" t="s">
        <v>290</v>
      </c>
      <c r="AD967" t="s">
        <v>144</v>
      </c>
      <c r="AE967" t="str">
        <f t="shared" si="256"/>
        <v>01</v>
      </c>
      <c r="AF967" t="s">
        <v>40</v>
      </c>
    </row>
    <row r="968" spans="1:32" x14ac:dyDescent="0.25">
      <c r="A968">
        <v>5</v>
      </c>
      <c r="B968">
        <v>420</v>
      </c>
      <c r="C968" t="str">
        <f t="shared" si="280"/>
        <v>00</v>
      </c>
      <c r="D968">
        <v>2159</v>
      </c>
      <c r="E968" t="str">
        <f t="shared" si="278"/>
        <v>00</v>
      </c>
      <c r="F968" t="str">
        <f>"021"</f>
        <v>021</v>
      </c>
      <c r="G968">
        <v>5</v>
      </c>
      <c r="H968" t="str">
        <f t="shared" si="281"/>
        <v>00</v>
      </c>
      <c r="I968" t="str">
        <f t="shared" si="279"/>
        <v>0</v>
      </c>
      <c r="J968" t="str">
        <f t="shared" si="262"/>
        <v>00</v>
      </c>
      <c r="K968">
        <v>20150126</v>
      </c>
      <c r="L968" t="str">
        <f>"014743"</f>
        <v>014743</v>
      </c>
      <c r="M968" t="str">
        <f>"00291"</f>
        <v>00291</v>
      </c>
      <c r="N968" t="s">
        <v>658</v>
      </c>
      <c r="O968" s="1">
        <v>1250</v>
      </c>
      <c r="Q968" t="s">
        <v>33</v>
      </c>
      <c r="R968" t="s">
        <v>34</v>
      </c>
      <c r="S968" t="s">
        <v>35</v>
      </c>
      <c r="T968" t="s">
        <v>35</v>
      </c>
      <c r="U968" t="s">
        <v>34</v>
      </c>
      <c r="V968" t="str">
        <f>""</f>
        <v/>
      </c>
      <c r="W968">
        <v>20150126</v>
      </c>
      <c r="X968" t="s">
        <v>292</v>
      </c>
      <c r="Y968" t="s">
        <v>670</v>
      </c>
      <c r="Z968" t="s">
        <v>670</v>
      </c>
      <c r="AA968">
        <v>0</v>
      </c>
      <c r="AB968" t="s">
        <v>142</v>
      </c>
      <c r="AC968" t="s">
        <v>294</v>
      </c>
      <c r="AD968" t="s">
        <v>144</v>
      </c>
      <c r="AE968" t="str">
        <f t="shared" si="256"/>
        <v>01</v>
      </c>
      <c r="AF968" t="s">
        <v>40</v>
      </c>
    </row>
    <row r="969" spans="1:32" x14ac:dyDescent="0.25">
      <c r="A969">
        <v>5</v>
      </c>
      <c r="B969">
        <v>420</v>
      </c>
      <c r="C969" t="str">
        <f t="shared" si="280"/>
        <v>00</v>
      </c>
      <c r="D969">
        <v>2159</v>
      </c>
      <c r="E969" t="str">
        <f t="shared" si="278"/>
        <v>00</v>
      </c>
      <c r="F969" t="str">
        <f>"150"</f>
        <v>150</v>
      </c>
      <c r="G969">
        <v>5</v>
      </c>
      <c r="H969" t="str">
        <f t="shared" si="281"/>
        <v>00</v>
      </c>
      <c r="I969" t="str">
        <f t="shared" si="279"/>
        <v>0</v>
      </c>
      <c r="J969" t="str">
        <f t="shared" si="262"/>
        <v>00</v>
      </c>
      <c r="K969">
        <v>20150126</v>
      </c>
      <c r="L969" t="str">
        <f>"014744"</f>
        <v>014744</v>
      </c>
      <c r="M969" t="str">
        <f>"00355"</f>
        <v>00355</v>
      </c>
      <c r="N969" t="s">
        <v>295</v>
      </c>
      <c r="O969">
        <v>417.16</v>
      </c>
      <c r="Q969" t="s">
        <v>33</v>
      </c>
      <c r="R969" t="s">
        <v>34</v>
      </c>
      <c r="S969" t="s">
        <v>35</v>
      </c>
      <c r="T969" t="s">
        <v>35</v>
      </c>
      <c r="U969" t="s">
        <v>34</v>
      </c>
      <c r="V969" t="str">
        <f>""</f>
        <v/>
      </c>
      <c r="W969">
        <v>20150126</v>
      </c>
      <c r="X969" t="s">
        <v>296</v>
      </c>
      <c r="Y969" t="s">
        <v>670</v>
      </c>
      <c r="Z969" t="s">
        <v>670</v>
      </c>
      <c r="AA969">
        <v>0</v>
      </c>
      <c r="AB969" t="s">
        <v>142</v>
      </c>
      <c r="AC969" t="s">
        <v>297</v>
      </c>
      <c r="AD969" t="s">
        <v>144</v>
      </c>
      <c r="AE969" t="str">
        <f t="shared" si="256"/>
        <v>01</v>
      </c>
      <c r="AF969" t="s">
        <v>40</v>
      </c>
    </row>
    <row r="970" spans="1:32" x14ac:dyDescent="0.25">
      <c r="A970">
        <v>5</v>
      </c>
      <c r="B970">
        <v>420</v>
      </c>
      <c r="C970" t="str">
        <f t="shared" si="280"/>
        <v>00</v>
      </c>
      <c r="D970">
        <v>2159</v>
      </c>
      <c r="E970" t="str">
        <f t="shared" si="278"/>
        <v>00</v>
      </c>
      <c r="F970" t="str">
        <f>"154"</f>
        <v>154</v>
      </c>
      <c r="G970">
        <v>5</v>
      </c>
      <c r="H970" t="str">
        <f t="shared" si="281"/>
        <v>00</v>
      </c>
      <c r="I970" t="str">
        <f t="shared" si="279"/>
        <v>0</v>
      </c>
      <c r="J970" t="str">
        <f t="shared" si="262"/>
        <v>00</v>
      </c>
      <c r="K970">
        <v>20150126</v>
      </c>
      <c r="L970" t="str">
        <f>"014745"</f>
        <v>014745</v>
      </c>
      <c r="M970" t="str">
        <f>"00684"</f>
        <v>00684</v>
      </c>
      <c r="N970" t="s">
        <v>466</v>
      </c>
      <c r="O970">
        <v>680</v>
      </c>
      <c r="Q970" t="s">
        <v>33</v>
      </c>
      <c r="R970" t="s">
        <v>34</v>
      </c>
      <c r="S970" t="s">
        <v>35</v>
      </c>
      <c r="T970" t="s">
        <v>35</v>
      </c>
      <c r="U970" t="s">
        <v>34</v>
      </c>
      <c r="V970" t="str">
        <f>""</f>
        <v/>
      </c>
      <c r="W970">
        <v>20150126</v>
      </c>
      <c r="X970" t="s">
        <v>467</v>
      </c>
      <c r="Y970" t="s">
        <v>670</v>
      </c>
      <c r="Z970" t="s">
        <v>670</v>
      </c>
      <c r="AA970">
        <v>0</v>
      </c>
      <c r="AB970" t="s">
        <v>142</v>
      </c>
      <c r="AC970" t="s">
        <v>468</v>
      </c>
      <c r="AD970" t="s">
        <v>144</v>
      </c>
      <c r="AE970" t="str">
        <f t="shared" si="256"/>
        <v>01</v>
      </c>
      <c r="AF970" t="s">
        <v>40</v>
      </c>
    </row>
    <row r="971" spans="1:32" x14ac:dyDescent="0.25">
      <c r="A971">
        <v>5</v>
      </c>
      <c r="B971">
        <v>420</v>
      </c>
      <c r="C971" t="str">
        <f t="shared" si="280"/>
        <v>00</v>
      </c>
      <c r="D971">
        <v>2159</v>
      </c>
      <c r="E971" t="str">
        <f t="shared" si="278"/>
        <v>00</v>
      </c>
      <c r="F971" t="str">
        <f>"158"</f>
        <v>158</v>
      </c>
      <c r="G971">
        <v>5</v>
      </c>
      <c r="H971" t="str">
        <f t="shared" si="281"/>
        <v>00</v>
      </c>
      <c r="I971" t="str">
        <f t="shared" si="279"/>
        <v>0</v>
      </c>
      <c r="J971" t="str">
        <f t="shared" si="262"/>
        <v>00</v>
      </c>
      <c r="K971">
        <v>20150126</v>
      </c>
      <c r="L971" t="str">
        <f>"014746"</f>
        <v>014746</v>
      </c>
      <c r="M971" t="str">
        <f>"00773"</f>
        <v>00773</v>
      </c>
      <c r="N971" t="s">
        <v>298</v>
      </c>
      <c r="O971">
        <v>25</v>
      </c>
      <c r="Q971" t="s">
        <v>33</v>
      </c>
      <c r="R971" t="s">
        <v>34</v>
      </c>
      <c r="S971" t="s">
        <v>35</v>
      </c>
      <c r="T971" t="s">
        <v>35</v>
      </c>
      <c r="U971" t="s">
        <v>34</v>
      </c>
      <c r="V971" t="str">
        <f>""</f>
        <v/>
      </c>
      <c r="W971">
        <v>20150126</v>
      </c>
      <c r="X971" t="s">
        <v>299</v>
      </c>
      <c r="Y971" t="s">
        <v>671</v>
      </c>
      <c r="Z971" t="s">
        <v>671</v>
      </c>
      <c r="AA971">
        <v>0</v>
      </c>
      <c r="AB971" t="s">
        <v>142</v>
      </c>
      <c r="AC971" t="s">
        <v>298</v>
      </c>
      <c r="AD971" t="s">
        <v>144</v>
      </c>
      <c r="AE971" t="str">
        <f t="shared" si="256"/>
        <v>01</v>
      </c>
      <c r="AF971" t="s">
        <v>40</v>
      </c>
    </row>
    <row r="972" spans="1:32" x14ac:dyDescent="0.25">
      <c r="A972">
        <v>5</v>
      </c>
      <c r="B972">
        <v>420</v>
      </c>
      <c r="C972" t="str">
        <f t="shared" si="280"/>
        <v>00</v>
      </c>
      <c r="D972">
        <v>2159</v>
      </c>
      <c r="E972" t="str">
        <f t="shared" si="278"/>
        <v>00</v>
      </c>
      <c r="F972" t="str">
        <f>"164"</f>
        <v>164</v>
      </c>
      <c r="G972">
        <v>5</v>
      </c>
      <c r="H972" t="str">
        <f t="shared" si="281"/>
        <v>00</v>
      </c>
      <c r="I972" t="str">
        <f t="shared" si="279"/>
        <v>0</v>
      </c>
      <c r="J972" t="str">
        <f t="shared" si="262"/>
        <v>00</v>
      </c>
      <c r="K972">
        <v>20150126</v>
      </c>
      <c r="L972" t="str">
        <f>"014747"</f>
        <v>014747</v>
      </c>
      <c r="M972" t="str">
        <f>"00787"</f>
        <v>00787</v>
      </c>
      <c r="N972" t="s">
        <v>469</v>
      </c>
      <c r="O972">
        <v>225</v>
      </c>
      <c r="Q972" t="s">
        <v>33</v>
      </c>
      <c r="R972" t="s">
        <v>34</v>
      </c>
      <c r="S972" t="s">
        <v>35</v>
      </c>
      <c r="T972" t="s">
        <v>35</v>
      </c>
      <c r="U972" t="s">
        <v>34</v>
      </c>
      <c r="V972" t="str">
        <f>""</f>
        <v/>
      </c>
      <c r="W972">
        <v>20150126</v>
      </c>
      <c r="X972" t="s">
        <v>470</v>
      </c>
      <c r="Y972" t="s">
        <v>671</v>
      </c>
      <c r="Z972" t="s">
        <v>671</v>
      </c>
      <c r="AA972">
        <v>0</v>
      </c>
      <c r="AB972" t="s">
        <v>142</v>
      </c>
      <c r="AC972" t="s">
        <v>472</v>
      </c>
      <c r="AD972" t="s">
        <v>144</v>
      </c>
      <c r="AE972" t="str">
        <f t="shared" si="256"/>
        <v>01</v>
      </c>
      <c r="AF972" t="s">
        <v>40</v>
      </c>
    </row>
    <row r="973" spans="1:32" x14ac:dyDescent="0.25">
      <c r="A973">
        <v>5</v>
      </c>
      <c r="B973">
        <v>420</v>
      </c>
      <c r="C973" t="str">
        <f t="shared" si="280"/>
        <v>00</v>
      </c>
      <c r="D973">
        <v>2159</v>
      </c>
      <c r="E973" t="str">
        <f t="shared" si="278"/>
        <v>00</v>
      </c>
      <c r="F973" t="str">
        <f>"165"</f>
        <v>165</v>
      </c>
      <c r="G973">
        <v>5</v>
      </c>
      <c r="H973" t="str">
        <f t="shared" si="281"/>
        <v>00</v>
      </c>
      <c r="I973" t="str">
        <f t="shared" si="279"/>
        <v>0</v>
      </c>
      <c r="J973" t="str">
        <f t="shared" si="262"/>
        <v>00</v>
      </c>
      <c r="K973">
        <v>20150126</v>
      </c>
      <c r="L973" t="str">
        <f>"014748"</f>
        <v>014748</v>
      </c>
      <c r="M973" t="str">
        <f>"00794"</f>
        <v>00794</v>
      </c>
      <c r="N973" t="s">
        <v>613</v>
      </c>
      <c r="O973">
        <v>30</v>
      </c>
      <c r="Q973" t="s">
        <v>33</v>
      </c>
      <c r="R973" t="s">
        <v>34</v>
      </c>
      <c r="S973" t="s">
        <v>35</v>
      </c>
      <c r="T973" t="s">
        <v>35</v>
      </c>
      <c r="U973" t="s">
        <v>34</v>
      </c>
      <c r="V973" t="str">
        <f>""</f>
        <v/>
      </c>
      <c r="W973">
        <v>20150126</v>
      </c>
      <c r="X973" t="s">
        <v>614</v>
      </c>
      <c r="Y973" t="s">
        <v>670</v>
      </c>
      <c r="Z973" t="s">
        <v>670</v>
      </c>
      <c r="AA973">
        <v>0</v>
      </c>
      <c r="AB973" t="s">
        <v>142</v>
      </c>
      <c r="AC973" t="s">
        <v>613</v>
      </c>
      <c r="AD973" t="s">
        <v>144</v>
      </c>
      <c r="AE973" t="str">
        <f t="shared" si="256"/>
        <v>01</v>
      </c>
      <c r="AF973" t="s">
        <v>40</v>
      </c>
    </row>
    <row r="974" spans="1:32" x14ac:dyDescent="0.25">
      <c r="A974">
        <v>5</v>
      </c>
      <c r="B974">
        <v>240</v>
      </c>
      <c r="C974" t="str">
        <f>"35"</f>
        <v>35</v>
      </c>
      <c r="D974">
        <v>6349</v>
      </c>
      <c r="E974" t="str">
        <f t="shared" si="278"/>
        <v>00</v>
      </c>
      <c r="F974" t="str">
        <f>"999"</f>
        <v>999</v>
      </c>
      <c r="G974">
        <v>5</v>
      </c>
      <c r="H974" t="str">
        <f>"99"</f>
        <v>99</v>
      </c>
      <c r="I974" t="str">
        <f t="shared" si="279"/>
        <v>0</v>
      </c>
      <c r="J974" t="str">
        <f t="shared" si="262"/>
        <v>00</v>
      </c>
      <c r="K974">
        <v>20150130</v>
      </c>
      <c r="L974" t="str">
        <f>"014749"</f>
        <v>014749</v>
      </c>
      <c r="M974" t="str">
        <f>"00525"</f>
        <v>00525</v>
      </c>
      <c r="N974" t="s">
        <v>332</v>
      </c>
      <c r="O974">
        <v>244.45</v>
      </c>
      <c r="Q974" t="s">
        <v>33</v>
      </c>
      <c r="R974" t="s">
        <v>34</v>
      </c>
      <c r="S974" t="s">
        <v>35</v>
      </c>
      <c r="T974" t="s">
        <v>35</v>
      </c>
      <c r="U974" t="s">
        <v>34</v>
      </c>
      <c r="V974" t="str">
        <f>""</f>
        <v/>
      </c>
      <c r="W974">
        <v>20150129</v>
      </c>
      <c r="X974" t="s">
        <v>236</v>
      </c>
      <c r="Y974" t="s">
        <v>672</v>
      </c>
      <c r="Z974" t="s">
        <v>672</v>
      </c>
      <c r="AA974">
        <v>0</v>
      </c>
      <c r="AB974" t="s">
        <v>238</v>
      </c>
      <c r="AC974" t="s">
        <v>143</v>
      </c>
      <c r="AD974" t="s">
        <v>40</v>
      </c>
      <c r="AE974" t="str">
        <f t="shared" si="256"/>
        <v>01</v>
      </c>
      <c r="AF974" t="s">
        <v>40</v>
      </c>
    </row>
    <row r="975" spans="1:32" x14ac:dyDescent="0.25">
      <c r="A975">
        <v>5</v>
      </c>
      <c r="B975">
        <v>420</v>
      </c>
      <c r="C975" t="str">
        <f>"11"</f>
        <v>11</v>
      </c>
      <c r="D975">
        <v>6399</v>
      </c>
      <c r="E975" t="str">
        <f t="shared" si="278"/>
        <v>00</v>
      </c>
      <c r="F975" t="str">
        <f>"999"</f>
        <v>999</v>
      </c>
      <c r="G975">
        <v>5</v>
      </c>
      <c r="H975" t="str">
        <f>"11"</f>
        <v>11</v>
      </c>
      <c r="I975" t="str">
        <f t="shared" si="279"/>
        <v>0</v>
      </c>
      <c r="J975" t="str">
        <f t="shared" si="262"/>
        <v>00</v>
      </c>
      <c r="K975">
        <v>20150130</v>
      </c>
      <c r="L975" t="str">
        <f>"014749"</f>
        <v>014749</v>
      </c>
      <c r="M975" t="str">
        <f>"00525"</f>
        <v>00525</v>
      </c>
      <c r="N975" t="s">
        <v>332</v>
      </c>
      <c r="O975">
        <v>519.96</v>
      </c>
      <c r="Q975" t="s">
        <v>33</v>
      </c>
      <c r="R975" t="s">
        <v>34</v>
      </c>
      <c r="S975" t="s">
        <v>35</v>
      </c>
      <c r="T975" t="s">
        <v>35</v>
      </c>
      <c r="U975" t="s">
        <v>34</v>
      </c>
      <c r="V975" t="str">
        <f>""</f>
        <v/>
      </c>
      <c r="W975">
        <v>20150129</v>
      </c>
      <c r="X975" t="s">
        <v>385</v>
      </c>
      <c r="Y975" t="s">
        <v>672</v>
      </c>
      <c r="Z975" t="s">
        <v>672</v>
      </c>
      <c r="AA975">
        <v>0</v>
      </c>
      <c r="AB975" t="s">
        <v>142</v>
      </c>
      <c r="AC975" t="s">
        <v>143</v>
      </c>
      <c r="AD975" t="s">
        <v>40</v>
      </c>
      <c r="AE975" t="str">
        <f t="shared" si="256"/>
        <v>01</v>
      </c>
      <c r="AF975" t="s">
        <v>40</v>
      </c>
    </row>
    <row r="976" spans="1:32" x14ac:dyDescent="0.25">
      <c r="A976">
        <v>5</v>
      </c>
      <c r="B976">
        <v>211</v>
      </c>
      <c r="C976" t="str">
        <f>"11"</f>
        <v>11</v>
      </c>
      <c r="D976">
        <v>6399</v>
      </c>
      <c r="E976" t="str">
        <f t="shared" si="278"/>
        <v>00</v>
      </c>
      <c r="F976" t="str">
        <f>"001"</f>
        <v>001</v>
      </c>
      <c r="G976">
        <v>5</v>
      </c>
      <c r="H976" t="str">
        <f>"30"</f>
        <v>30</v>
      </c>
      <c r="I976" t="str">
        <f t="shared" si="279"/>
        <v>0</v>
      </c>
      <c r="J976" t="str">
        <f t="shared" si="262"/>
        <v>00</v>
      </c>
      <c r="K976">
        <v>20150130</v>
      </c>
      <c r="L976" t="str">
        <f t="shared" ref="L976:L1012" si="282">"014750"</f>
        <v>014750</v>
      </c>
      <c r="M976" t="str">
        <f t="shared" ref="M976:M1012" si="283">"00015"</f>
        <v>00015</v>
      </c>
      <c r="N976" t="s">
        <v>44</v>
      </c>
      <c r="O976">
        <v>6.79</v>
      </c>
      <c r="Q976" t="s">
        <v>33</v>
      </c>
      <c r="R976" t="s">
        <v>34</v>
      </c>
      <c r="S976" t="s">
        <v>35</v>
      </c>
      <c r="T976" t="s">
        <v>35</v>
      </c>
      <c r="U976" t="s">
        <v>34</v>
      </c>
      <c r="V976" t="str">
        <f>""</f>
        <v/>
      </c>
      <c r="W976">
        <v>20150128</v>
      </c>
      <c r="X976" t="s">
        <v>623</v>
      </c>
      <c r="Y976" t="s">
        <v>673</v>
      </c>
      <c r="Z976" t="s">
        <v>673</v>
      </c>
      <c r="AA976">
        <v>0</v>
      </c>
      <c r="AB976" t="s">
        <v>174</v>
      </c>
      <c r="AC976" t="s">
        <v>41</v>
      </c>
      <c r="AD976" t="s">
        <v>40</v>
      </c>
      <c r="AE976" t="str">
        <f t="shared" si="256"/>
        <v>01</v>
      </c>
      <c r="AF976" t="s">
        <v>40</v>
      </c>
    </row>
    <row r="977" spans="1:32" x14ac:dyDescent="0.25">
      <c r="A977">
        <v>5</v>
      </c>
      <c r="B977">
        <v>211</v>
      </c>
      <c r="C977" t="str">
        <f>"11"</f>
        <v>11</v>
      </c>
      <c r="D977">
        <v>6399</v>
      </c>
      <c r="E977" t="str">
        <f t="shared" si="278"/>
        <v>00</v>
      </c>
      <c r="F977" t="str">
        <f>"041"</f>
        <v>041</v>
      </c>
      <c r="G977">
        <v>5</v>
      </c>
      <c r="H977" t="str">
        <f>"30"</f>
        <v>30</v>
      </c>
      <c r="I977" t="str">
        <f t="shared" si="279"/>
        <v>0</v>
      </c>
      <c r="J977" t="str">
        <f t="shared" si="262"/>
        <v>00</v>
      </c>
      <c r="K977">
        <v>20150130</v>
      </c>
      <c r="L977" t="str">
        <f t="shared" si="282"/>
        <v>014750</v>
      </c>
      <c r="M977" t="str">
        <f t="shared" si="283"/>
        <v>00015</v>
      </c>
      <c r="N977" t="s">
        <v>44</v>
      </c>
      <c r="O977">
        <v>6.8</v>
      </c>
      <c r="Q977" t="s">
        <v>33</v>
      </c>
      <c r="R977" t="s">
        <v>34</v>
      </c>
      <c r="S977" t="s">
        <v>35</v>
      </c>
      <c r="T977" t="s">
        <v>35</v>
      </c>
      <c r="U977" t="s">
        <v>34</v>
      </c>
      <c r="V977" t="str">
        <f>""</f>
        <v/>
      </c>
      <c r="W977">
        <v>20150128</v>
      </c>
      <c r="X977" t="s">
        <v>417</v>
      </c>
      <c r="Y977" t="s">
        <v>673</v>
      </c>
      <c r="Z977" t="s">
        <v>673</v>
      </c>
      <c r="AA977">
        <v>0</v>
      </c>
      <c r="AB977" t="s">
        <v>174</v>
      </c>
      <c r="AC977" t="s">
        <v>41</v>
      </c>
      <c r="AD977" t="s">
        <v>40</v>
      </c>
      <c r="AE977" t="str">
        <f t="shared" si="256"/>
        <v>01</v>
      </c>
      <c r="AF977" t="s">
        <v>40</v>
      </c>
    </row>
    <row r="978" spans="1:32" x14ac:dyDescent="0.25">
      <c r="A978">
        <v>5</v>
      </c>
      <c r="B978">
        <v>211</v>
      </c>
      <c r="C978" t="str">
        <f>"11"</f>
        <v>11</v>
      </c>
      <c r="D978">
        <v>6399</v>
      </c>
      <c r="E978" t="str">
        <f t="shared" si="278"/>
        <v>00</v>
      </c>
      <c r="F978" t="str">
        <f>"101"</f>
        <v>101</v>
      </c>
      <c r="G978">
        <v>5</v>
      </c>
      <c r="H978" t="str">
        <f>"30"</f>
        <v>30</v>
      </c>
      <c r="I978" t="str">
        <f t="shared" si="279"/>
        <v>0</v>
      </c>
      <c r="J978" t="str">
        <f t="shared" si="262"/>
        <v>00</v>
      </c>
      <c r="K978">
        <v>20150130</v>
      </c>
      <c r="L978" t="str">
        <f t="shared" si="282"/>
        <v>014750</v>
      </c>
      <c r="M978" t="str">
        <f t="shared" si="283"/>
        <v>00015</v>
      </c>
      <c r="N978" t="s">
        <v>44</v>
      </c>
      <c r="O978">
        <v>32.9</v>
      </c>
      <c r="Q978" t="s">
        <v>33</v>
      </c>
      <c r="R978" t="s">
        <v>34</v>
      </c>
      <c r="S978" t="s">
        <v>35</v>
      </c>
      <c r="T978" t="s">
        <v>35</v>
      </c>
      <c r="U978" t="s">
        <v>34</v>
      </c>
      <c r="V978" t="str">
        <f>""</f>
        <v/>
      </c>
      <c r="W978">
        <v>20150128</v>
      </c>
      <c r="X978" t="s">
        <v>422</v>
      </c>
      <c r="Y978" t="s">
        <v>673</v>
      </c>
      <c r="Z978" t="s">
        <v>673</v>
      </c>
      <c r="AA978">
        <v>0</v>
      </c>
      <c r="AB978" t="s">
        <v>174</v>
      </c>
      <c r="AC978" t="s">
        <v>41</v>
      </c>
      <c r="AD978" t="s">
        <v>40</v>
      </c>
      <c r="AE978" t="str">
        <f t="shared" si="256"/>
        <v>01</v>
      </c>
      <c r="AF978" t="s">
        <v>40</v>
      </c>
    </row>
    <row r="979" spans="1:32" x14ac:dyDescent="0.25">
      <c r="A979">
        <v>5</v>
      </c>
      <c r="B979">
        <v>240</v>
      </c>
      <c r="C979" t="str">
        <f>"51"</f>
        <v>51</v>
      </c>
      <c r="D979">
        <v>6319</v>
      </c>
      <c r="E979" t="str">
        <f t="shared" si="278"/>
        <v>00</v>
      </c>
      <c r="F979" t="str">
        <f>"999"</f>
        <v>999</v>
      </c>
      <c r="G979">
        <v>5</v>
      </c>
      <c r="H979" t="str">
        <f>"99"</f>
        <v>99</v>
      </c>
      <c r="I979" t="str">
        <f t="shared" si="279"/>
        <v>0</v>
      </c>
      <c r="J979" t="str">
        <f t="shared" si="262"/>
        <v>00</v>
      </c>
      <c r="K979">
        <v>20150130</v>
      </c>
      <c r="L979" t="str">
        <f t="shared" si="282"/>
        <v>014750</v>
      </c>
      <c r="M979" t="str">
        <f t="shared" si="283"/>
        <v>00015</v>
      </c>
      <c r="N979" t="s">
        <v>44</v>
      </c>
      <c r="O979">
        <v>384</v>
      </c>
      <c r="Q979" t="s">
        <v>33</v>
      </c>
      <c r="R979" t="s">
        <v>34</v>
      </c>
      <c r="S979" t="s">
        <v>35</v>
      </c>
      <c r="T979" t="s">
        <v>35</v>
      </c>
      <c r="U979" t="s">
        <v>34</v>
      </c>
      <c r="V979" t="str">
        <f>""</f>
        <v/>
      </c>
      <c r="W979">
        <v>20150128</v>
      </c>
      <c r="X979" t="s">
        <v>350</v>
      </c>
      <c r="Y979" t="s">
        <v>529</v>
      </c>
      <c r="Z979" t="s">
        <v>529</v>
      </c>
      <c r="AA979">
        <v>0</v>
      </c>
      <c r="AB979" t="s">
        <v>238</v>
      </c>
      <c r="AC979" t="s">
        <v>143</v>
      </c>
      <c r="AD979" t="s">
        <v>40</v>
      </c>
      <c r="AE979" t="str">
        <f t="shared" ref="AE979:AE1042" si="284">"01"</f>
        <v>01</v>
      </c>
      <c r="AF979" t="s">
        <v>40</v>
      </c>
    </row>
    <row r="980" spans="1:32" x14ac:dyDescent="0.25">
      <c r="A980">
        <v>5</v>
      </c>
      <c r="B980">
        <v>244</v>
      </c>
      <c r="C980" t="str">
        <f t="shared" ref="C980:C987" si="285">"11"</f>
        <v>11</v>
      </c>
      <c r="D980">
        <v>6399</v>
      </c>
      <c r="E980" t="str">
        <f t="shared" si="278"/>
        <v>00</v>
      </c>
      <c r="F980" t="str">
        <f>"001"</f>
        <v>001</v>
      </c>
      <c r="G980">
        <v>5</v>
      </c>
      <c r="H980" t="str">
        <f>"22"</f>
        <v>22</v>
      </c>
      <c r="I980" t="str">
        <f t="shared" si="279"/>
        <v>0</v>
      </c>
      <c r="J980" t="str">
        <f t="shared" si="262"/>
        <v>00</v>
      </c>
      <c r="K980">
        <v>20150130</v>
      </c>
      <c r="L980" t="str">
        <f t="shared" si="282"/>
        <v>014750</v>
      </c>
      <c r="M980" t="str">
        <f t="shared" si="283"/>
        <v>00015</v>
      </c>
      <c r="N980" t="s">
        <v>44</v>
      </c>
      <c r="O980">
        <v>595.96</v>
      </c>
      <c r="Q980" t="s">
        <v>33</v>
      </c>
      <c r="R980" t="s">
        <v>34</v>
      </c>
      <c r="S980" t="s">
        <v>35</v>
      </c>
      <c r="T980" t="s">
        <v>35</v>
      </c>
      <c r="U980" t="s">
        <v>34</v>
      </c>
      <c r="V980" t="str">
        <f>""</f>
        <v/>
      </c>
      <c r="W980">
        <v>20150128</v>
      </c>
      <c r="X980" t="s">
        <v>594</v>
      </c>
      <c r="Y980" t="s">
        <v>674</v>
      </c>
      <c r="Z980" t="s">
        <v>674</v>
      </c>
      <c r="AA980">
        <v>0</v>
      </c>
      <c r="AB980" t="s">
        <v>596</v>
      </c>
      <c r="AC980" t="s">
        <v>41</v>
      </c>
      <c r="AD980" t="s">
        <v>40</v>
      </c>
      <c r="AE980" t="str">
        <f t="shared" si="284"/>
        <v>01</v>
      </c>
      <c r="AF980" t="s">
        <v>40</v>
      </c>
    </row>
    <row r="981" spans="1:32" x14ac:dyDescent="0.25">
      <c r="A981">
        <v>5</v>
      </c>
      <c r="B981">
        <v>255</v>
      </c>
      <c r="C981" t="str">
        <f t="shared" si="285"/>
        <v>11</v>
      </c>
      <c r="D981">
        <v>6219</v>
      </c>
      <c r="E981" t="str">
        <f t="shared" si="278"/>
        <v>00</v>
      </c>
      <c r="F981" t="str">
        <f>"999"</f>
        <v>999</v>
      </c>
      <c r="G981">
        <v>5</v>
      </c>
      <c r="H981" t="str">
        <f>"30"</f>
        <v>30</v>
      </c>
      <c r="I981" t="str">
        <f t="shared" si="279"/>
        <v>0</v>
      </c>
      <c r="J981" t="str">
        <f t="shared" ref="J981:J1017" si="286">"00"</f>
        <v>00</v>
      </c>
      <c r="K981">
        <v>20150130</v>
      </c>
      <c r="L981" t="str">
        <f t="shared" si="282"/>
        <v>014750</v>
      </c>
      <c r="M981" t="str">
        <f t="shared" si="283"/>
        <v>00015</v>
      </c>
      <c r="N981" t="s">
        <v>44</v>
      </c>
      <c r="O981">
        <v>245</v>
      </c>
      <c r="Q981" t="s">
        <v>33</v>
      </c>
      <c r="R981" t="s">
        <v>34</v>
      </c>
      <c r="S981" t="s">
        <v>35</v>
      </c>
      <c r="T981" t="s">
        <v>35</v>
      </c>
      <c r="U981" t="s">
        <v>34</v>
      </c>
      <c r="V981" t="str">
        <f>""</f>
        <v/>
      </c>
      <c r="W981">
        <v>20150128</v>
      </c>
      <c r="X981" t="s">
        <v>177</v>
      </c>
      <c r="Y981" t="s">
        <v>675</v>
      </c>
      <c r="Z981" t="s">
        <v>675</v>
      </c>
      <c r="AA981">
        <v>0</v>
      </c>
      <c r="AB981" t="s">
        <v>178</v>
      </c>
      <c r="AC981" t="s">
        <v>143</v>
      </c>
      <c r="AD981" t="s">
        <v>40</v>
      </c>
      <c r="AE981" t="str">
        <f t="shared" si="284"/>
        <v>01</v>
      </c>
      <c r="AF981" t="s">
        <v>40</v>
      </c>
    </row>
    <row r="982" spans="1:32" x14ac:dyDescent="0.25">
      <c r="A982">
        <v>5</v>
      </c>
      <c r="B982">
        <v>420</v>
      </c>
      <c r="C982" t="str">
        <f t="shared" si="285"/>
        <v>11</v>
      </c>
      <c r="D982">
        <v>6315</v>
      </c>
      <c r="E982" t="str">
        <f t="shared" si="278"/>
        <v>00</v>
      </c>
      <c r="F982" t="str">
        <f>"101"</f>
        <v>101</v>
      </c>
      <c r="G982">
        <v>5</v>
      </c>
      <c r="H982" t="str">
        <f t="shared" ref="H982:H987" si="287">"11"</f>
        <v>11</v>
      </c>
      <c r="I982" t="str">
        <f t="shared" si="279"/>
        <v>0</v>
      </c>
      <c r="J982" t="str">
        <f t="shared" si="286"/>
        <v>00</v>
      </c>
      <c r="K982">
        <v>20150130</v>
      </c>
      <c r="L982" t="str">
        <f t="shared" si="282"/>
        <v>014750</v>
      </c>
      <c r="M982" t="str">
        <f t="shared" si="283"/>
        <v>00015</v>
      </c>
      <c r="N982" t="s">
        <v>44</v>
      </c>
      <c r="O982" s="1">
        <v>1414.69</v>
      </c>
      <c r="Q982" t="s">
        <v>33</v>
      </c>
      <c r="R982" t="s">
        <v>34</v>
      </c>
      <c r="S982" t="s">
        <v>35</v>
      </c>
      <c r="T982" t="s">
        <v>35</v>
      </c>
      <c r="U982" t="s">
        <v>34</v>
      </c>
      <c r="V982" t="str">
        <f>""</f>
        <v/>
      </c>
      <c r="W982">
        <v>20150128</v>
      </c>
      <c r="X982" t="s">
        <v>482</v>
      </c>
      <c r="Y982" t="s">
        <v>676</v>
      </c>
      <c r="Z982" t="s">
        <v>676</v>
      </c>
      <c r="AA982">
        <v>0</v>
      </c>
      <c r="AB982" t="s">
        <v>142</v>
      </c>
      <c r="AC982" t="s">
        <v>41</v>
      </c>
      <c r="AD982" t="s">
        <v>40</v>
      </c>
      <c r="AE982" t="str">
        <f t="shared" si="284"/>
        <v>01</v>
      </c>
      <c r="AF982" t="s">
        <v>40</v>
      </c>
    </row>
    <row r="983" spans="1:32" x14ac:dyDescent="0.25">
      <c r="A983">
        <v>5</v>
      </c>
      <c r="B983">
        <v>420</v>
      </c>
      <c r="C983" t="str">
        <f t="shared" si="285"/>
        <v>11</v>
      </c>
      <c r="D983">
        <v>6399</v>
      </c>
      <c r="E983" t="str">
        <f t="shared" si="278"/>
        <v>00</v>
      </c>
      <c r="F983" t="str">
        <f>"001"</f>
        <v>001</v>
      </c>
      <c r="G983">
        <v>5</v>
      </c>
      <c r="H983" t="str">
        <f t="shared" si="287"/>
        <v>11</v>
      </c>
      <c r="I983" t="str">
        <f t="shared" si="279"/>
        <v>0</v>
      </c>
      <c r="J983" t="str">
        <f t="shared" si="286"/>
        <v>00</v>
      </c>
      <c r="K983">
        <v>20150130</v>
      </c>
      <c r="L983" t="str">
        <f t="shared" si="282"/>
        <v>014750</v>
      </c>
      <c r="M983" t="str">
        <f t="shared" si="283"/>
        <v>00015</v>
      </c>
      <c r="N983" t="s">
        <v>44</v>
      </c>
      <c r="O983">
        <v>54.49</v>
      </c>
      <c r="Q983" t="s">
        <v>33</v>
      </c>
      <c r="R983" t="s">
        <v>34</v>
      </c>
      <c r="S983" t="s">
        <v>35</v>
      </c>
      <c r="T983" t="s">
        <v>35</v>
      </c>
      <c r="U983" t="s">
        <v>34</v>
      </c>
      <c r="V983" t="str">
        <f>""</f>
        <v/>
      </c>
      <c r="W983">
        <v>20150128</v>
      </c>
      <c r="X983" t="s">
        <v>239</v>
      </c>
      <c r="Y983" t="s">
        <v>59</v>
      </c>
      <c r="Z983" t="s">
        <v>59</v>
      </c>
      <c r="AA983">
        <v>0</v>
      </c>
      <c r="AB983" t="s">
        <v>142</v>
      </c>
      <c r="AC983" t="s">
        <v>41</v>
      </c>
      <c r="AD983" t="s">
        <v>40</v>
      </c>
      <c r="AE983" t="str">
        <f t="shared" si="284"/>
        <v>01</v>
      </c>
      <c r="AF983" t="s">
        <v>40</v>
      </c>
    </row>
    <row r="984" spans="1:32" x14ac:dyDescent="0.25">
      <c r="A984">
        <v>5</v>
      </c>
      <c r="B984">
        <v>420</v>
      </c>
      <c r="C984" t="str">
        <f t="shared" si="285"/>
        <v>11</v>
      </c>
      <c r="D984">
        <v>6399</v>
      </c>
      <c r="E984" t="str">
        <f t="shared" si="278"/>
        <v>00</v>
      </c>
      <c r="F984" t="str">
        <f>"041"</f>
        <v>041</v>
      </c>
      <c r="G984">
        <v>5</v>
      </c>
      <c r="H984" t="str">
        <f t="shared" si="287"/>
        <v>11</v>
      </c>
      <c r="I984" t="str">
        <f t="shared" si="279"/>
        <v>0</v>
      </c>
      <c r="J984" t="str">
        <f t="shared" si="286"/>
        <v>00</v>
      </c>
      <c r="K984">
        <v>20150130</v>
      </c>
      <c r="L984" t="str">
        <f t="shared" si="282"/>
        <v>014750</v>
      </c>
      <c r="M984" t="str">
        <f t="shared" si="283"/>
        <v>00015</v>
      </c>
      <c r="N984" t="s">
        <v>44</v>
      </c>
      <c r="O984">
        <v>54.49</v>
      </c>
      <c r="Q984" t="s">
        <v>33</v>
      </c>
      <c r="R984" t="s">
        <v>34</v>
      </c>
      <c r="S984" t="s">
        <v>35</v>
      </c>
      <c r="T984" t="s">
        <v>35</v>
      </c>
      <c r="U984" t="s">
        <v>34</v>
      </c>
      <c r="V984" t="str">
        <f>""</f>
        <v/>
      </c>
      <c r="W984">
        <v>20150128</v>
      </c>
      <c r="X984" t="s">
        <v>241</v>
      </c>
      <c r="Y984" t="s">
        <v>59</v>
      </c>
      <c r="Z984" t="s">
        <v>59</v>
      </c>
      <c r="AA984">
        <v>0</v>
      </c>
      <c r="AB984" t="s">
        <v>142</v>
      </c>
      <c r="AC984" t="s">
        <v>41</v>
      </c>
      <c r="AD984" t="s">
        <v>40</v>
      </c>
      <c r="AE984" t="str">
        <f t="shared" si="284"/>
        <v>01</v>
      </c>
      <c r="AF984" t="s">
        <v>40</v>
      </c>
    </row>
    <row r="985" spans="1:32" x14ac:dyDescent="0.25">
      <c r="A985">
        <v>5</v>
      </c>
      <c r="B985">
        <v>420</v>
      </c>
      <c r="C985" t="str">
        <f t="shared" si="285"/>
        <v>11</v>
      </c>
      <c r="D985">
        <v>6399</v>
      </c>
      <c r="E985" t="str">
        <f t="shared" si="278"/>
        <v>00</v>
      </c>
      <c r="F985" t="str">
        <f>"041"</f>
        <v>041</v>
      </c>
      <c r="G985">
        <v>5</v>
      </c>
      <c r="H985" t="str">
        <f t="shared" si="287"/>
        <v>11</v>
      </c>
      <c r="I985" t="str">
        <f t="shared" si="279"/>
        <v>0</v>
      </c>
      <c r="J985" t="str">
        <f t="shared" si="286"/>
        <v>00</v>
      </c>
      <c r="K985">
        <v>20150130</v>
      </c>
      <c r="L985" t="str">
        <f t="shared" si="282"/>
        <v>014750</v>
      </c>
      <c r="M985" t="str">
        <f t="shared" si="283"/>
        <v>00015</v>
      </c>
      <c r="N985" t="s">
        <v>44</v>
      </c>
      <c r="O985">
        <v>58.19</v>
      </c>
      <c r="Q985" t="s">
        <v>33</v>
      </c>
      <c r="R985" t="s">
        <v>34</v>
      </c>
      <c r="S985" t="s">
        <v>35</v>
      </c>
      <c r="T985" t="s">
        <v>35</v>
      </c>
      <c r="U985" t="s">
        <v>34</v>
      </c>
      <c r="V985" t="str">
        <f>""</f>
        <v/>
      </c>
      <c r="W985">
        <v>20150128</v>
      </c>
      <c r="X985" t="s">
        <v>241</v>
      </c>
      <c r="Y985" t="s">
        <v>677</v>
      </c>
      <c r="Z985" t="s">
        <v>677</v>
      </c>
      <c r="AA985">
        <v>0</v>
      </c>
      <c r="AB985" t="s">
        <v>142</v>
      </c>
      <c r="AC985" t="s">
        <v>41</v>
      </c>
      <c r="AD985" t="s">
        <v>40</v>
      </c>
      <c r="AE985" t="str">
        <f t="shared" si="284"/>
        <v>01</v>
      </c>
      <c r="AF985" t="s">
        <v>40</v>
      </c>
    </row>
    <row r="986" spans="1:32" x14ac:dyDescent="0.25">
      <c r="A986">
        <v>5</v>
      </c>
      <c r="B986">
        <v>420</v>
      </c>
      <c r="C986" t="str">
        <f t="shared" si="285"/>
        <v>11</v>
      </c>
      <c r="D986">
        <v>6399</v>
      </c>
      <c r="E986" t="str">
        <f t="shared" si="278"/>
        <v>00</v>
      </c>
      <c r="F986" t="str">
        <f>"101"</f>
        <v>101</v>
      </c>
      <c r="G986">
        <v>5</v>
      </c>
      <c r="H986" t="str">
        <f t="shared" si="287"/>
        <v>11</v>
      </c>
      <c r="I986" t="str">
        <f t="shared" si="279"/>
        <v>0</v>
      </c>
      <c r="J986" t="str">
        <f t="shared" si="286"/>
        <v>00</v>
      </c>
      <c r="K986">
        <v>20150130</v>
      </c>
      <c r="L986" t="str">
        <f t="shared" si="282"/>
        <v>014750</v>
      </c>
      <c r="M986" t="str">
        <f t="shared" si="283"/>
        <v>00015</v>
      </c>
      <c r="N986" t="s">
        <v>44</v>
      </c>
      <c r="O986">
        <v>125.21</v>
      </c>
      <c r="Q986" t="s">
        <v>33</v>
      </c>
      <c r="R986" t="s">
        <v>34</v>
      </c>
      <c r="S986" t="s">
        <v>35</v>
      </c>
      <c r="T986" t="s">
        <v>35</v>
      </c>
      <c r="U986" t="s">
        <v>34</v>
      </c>
      <c r="V986" t="str">
        <f>""</f>
        <v/>
      </c>
      <c r="W986">
        <v>20150128</v>
      </c>
      <c r="X986" t="s">
        <v>246</v>
      </c>
      <c r="Y986" t="s">
        <v>59</v>
      </c>
      <c r="Z986" t="s">
        <v>59</v>
      </c>
      <c r="AA986">
        <v>0</v>
      </c>
      <c r="AB986" t="s">
        <v>142</v>
      </c>
      <c r="AC986" t="s">
        <v>41</v>
      </c>
      <c r="AD986" t="s">
        <v>40</v>
      </c>
      <c r="AE986" t="str">
        <f t="shared" si="284"/>
        <v>01</v>
      </c>
      <c r="AF986" t="s">
        <v>40</v>
      </c>
    </row>
    <row r="987" spans="1:32" x14ac:dyDescent="0.25">
      <c r="A987">
        <v>5</v>
      </c>
      <c r="B987">
        <v>420</v>
      </c>
      <c r="C987" t="str">
        <f t="shared" si="285"/>
        <v>11</v>
      </c>
      <c r="D987">
        <v>6399</v>
      </c>
      <c r="E987" t="str">
        <f t="shared" si="278"/>
        <v>00</v>
      </c>
      <c r="F987" t="str">
        <f>"101"</f>
        <v>101</v>
      </c>
      <c r="G987">
        <v>5</v>
      </c>
      <c r="H987" t="str">
        <f t="shared" si="287"/>
        <v>11</v>
      </c>
      <c r="I987" t="str">
        <f t="shared" si="279"/>
        <v>0</v>
      </c>
      <c r="J987" t="str">
        <f t="shared" si="286"/>
        <v>00</v>
      </c>
      <c r="K987">
        <v>20150130</v>
      </c>
      <c r="L987" t="str">
        <f t="shared" si="282"/>
        <v>014750</v>
      </c>
      <c r="M987" t="str">
        <f t="shared" si="283"/>
        <v>00015</v>
      </c>
      <c r="N987" t="s">
        <v>44</v>
      </c>
      <c r="O987">
        <v>92.01</v>
      </c>
      <c r="Q987" t="s">
        <v>33</v>
      </c>
      <c r="R987" t="s">
        <v>34</v>
      </c>
      <c r="S987" t="s">
        <v>35</v>
      </c>
      <c r="T987" t="s">
        <v>35</v>
      </c>
      <c r="U987" t="s">
        <v>34</v>
      </c>
      <c r="V987" t="str">
        <f>""</f>
        <v/>
      </c>
      <c r="W987">
        <v>20150128</v>
      </c>
      <c r="X987" t="s">
        <v>246</v>
      </c>
      <c r="Y987" t="s">
        <v>59</v>
      </c>
      <c r="Z987" t="s">
        <v>59</v>
      </c>
      <c r="AA987">
        <v>0</v>
      </c>
      <c r="AB987" t="s">
        <v>142</v>
      </c>
      <c r="AC987" t="s">
        <v>41</v>
      </c>
      <c r="AD987" t="s">
        <v>40</v>
      </c>
      <c r="AE987" t="str">
        <f t="shared" si="284"/>
        <v>01</v>
      </c>
      <c r="AF987" t="s">
        <v>40</v>
      </c>
    </row>
    <row r="988" spans="1:32" x14ac:dyDescent="0.25">
      <c r="A988">
        <v>5</v>
      </c>
      <c r="B988">
        <v>420</v>
      </c>
      <c r="C988" t="str">
        <f>"36"</f>
        <v>36</v>
      </c>
      <c r="D988">
        <v>6399</v>
      </c>
      <c r="E988" t="str">
        <f t="shared" si="278"/>
        <v>00</v>
      </c>
      <c r="F988" t="str">
        <f>"001"</f>
        <v>001</v>
      </c>
      <c r="G988">
        <v>5</v>
      </c>
      <c r="H988" t="str">
        <f>"91"</f>
        <v>91</v>
      </c>
      <c r="I988" t="str">
        <f t="shared" si="279"/>
        <v>0</v>
      </c>
      <c r="J988" t="str">
        <f t="shared" si="286"/>
        <v>00</v>
      </c>
      <c r="K988">
        <v>20150130</v>
      </c>
      <c r="L988" t="str">
        <f t="shared" si="282"/>
        <v>014750</v>
      </c>
      <c r="M988" t="str">
        <f t="shared" si="283"/>
        <v>00015</v>
      </c>
      <c r="N988" t="s">
        <v>44</v>
      </c>
      <c r="O988">
        <v>499.8</v>
      </c>
      <c r="Q988" t="s">
        <v>33</v>
      </c>
      <c r="R988" t="s">
        <v>34</v>
      </c>
      <c r="S988" t="s">
        <v>35</v>
      </c>
      <c r="T988" t="s">
        <v>35</v>
      </c>
      <c r="U988" t="s">
        <v>34</v>
      </c>
      <c r="V988" t="str">
        <f>""</f>
        <v/>
      </c>
      <c r="W988">
        <v>20150128</v>
      </c>
      <c r="X988" t="s">
        <v>599</v>
      </c>
      <c r="Y988" t="s">
        <v>678</v>
      </c>
      <c r="Z988" t="s">
        <v>678</v>
      </c>
      <c r="AA988">
        <v>0</v>
      </c>
      <c r="AB988" t="s">
        <v>142</v>
      </c>
      <c r="AC988" t="s">
        <v>41</v>
      </c>
      <c r="AD988" t="s">
        <v>40</v>
      </c>
      <c r="AE988" t="str">
        <f t="shared" si="284"/>
        <v>01</v>
      </c>
      <c r="AF988" t="s">
        <v>40</v>
      </c>
    </row>
    <row r="989" spans="1:32" x14ac:dyDescent="0.25">
      <c r="A989">
        <v>5</v>
      </c>
      <c r="B989">
        <v>420</v>
      </c>
      <c r="C989" t="str">
        <f>"36"</f>
        <v>36</v>
      </c>
      <c r="D989">
        <v>6399</v>
      </c>
      <c r="E989" t="str">
        <f t="shared" si="278"/>
        <v>00</v>
      </c>
      <c r="F989" t="str">
        <f>"001"</f>
        <v>001</v>
      </c>
      <c r="G989">
        <v>5</v>
      </c>
      <c r="H989" t="str">
        <f>"91"</f>
        <v>91</v>
      </c>
      <c r="I989" t="str">
        <f t="shared" si="279"/>
        <v>0</v>
      </c>
      <c r="J989" t="str">
        <f t="shared" si="286"/>
        <v>00</v>
      </c>
      <c r="K989">
        <v>20150130</v>
      </c>
      <c r="L989" t="str">
        <f t="shared" si="282"/>
        <v>014750</v>
      </c>
      <c r="M989" t="str">
        <f t="shared" si="283"/>
        <v>00015</v>
      </c>
      <c r="N989" t="s">
        <v>44</v>
      </c>
      <c r="O989">
        <v>-200</v>
      </c>
      <c r="Q989" t="s">
        <v>33</v>
      </c>
      <c r="R989" t="s">
        <v>34</v>
      </c>
      <c r="S989" t="s">
        <v>35</v>
      </c>
      <c r="T989" t="s">
        <v>35</v>
      </c>
      <c r="U989" t="s">
        <v>34</v>
      </c>
      <c r="V989" t="s">
        <v>110</v>
      </c>
      <c r="W989">
        <v>20141217</v>
      </c>
      <c r="X989" t="s">
        <v>599</v>
      </c>
      <c r="Y989" t="s">
        <v>679</v>
      </c>
      <c r="Z989" t="s">
        <v>679</v>
      </c>
      <c r="AA989">
        <v>0</v>
      </c>
      <c r="AB989" t="s">
        <v>142</v>
      </c>
      <c r="AC989" t="s">
        <v>41</v>
      </c>
      <c r="AD989" t="s">
        <v>112</v>
      </c>
      <c r="AE989" t="str">
        <f t="shared" si="284"/>
        <v>01</v>
      </c>
      <c r="AF989" t="s">
        <v>40</v>
      </c>
    </row>
    <row r="990" spans="1:32" x14ac:dyDescent="0.25">
      <c r="A990">
        <v>5</v>
      </c>
      <c r="B990">
        <v>420</v>
      </c>
      <c r="C990" t="str">
        <f>"36"</f>
        <v>36</v>
      </c>
      <c r="D990">
        <v>6399</v>
      </c>
      <c r="E990" t="str">
        <f t="shared" si="278"/>
        <v>00</v>
      </c>
      <c r="F990" t="str">
        <f>"041"</f>
        <v>041</v>
      </c>
      <c r="G990">
        <v>5</v>
      </c>
      <c r="H990" t="str">
        <f>"91"</f>
        <v>91</v>
      </c>
      <c r="I990" t="str">
        <f t="shared" si="279"/>
        <v>0</v>
      </c>
      <c r="J990" t="str">
        <f t="shared" si="286"/>
        <v>00</v>
      </c>
      <c r="K990">
        <v>20150130</v>
      </c>
      <c r="L990" t="str">
        <f t="shared" si="282"/>
        <v>014750</v>
      </c>
      <c r="M990" t="str">
        <f t="shared" si="283"/>
        <v>00015</v>
      </c>
      <c r="N990" t="s">
        <v>44</v>
      </c>
      <c r="O990">
        <v>499.8</v>
      </c>
      <c r="Q990" t="s">
        <v>33</v>
      </c>
      <c r="R990" t="s">
        <v>34</v>
      </c>
      <c r="S990" t="s">
        <v>35</v>
      </c>
      <c r="T990" t="s">
        <v>35</v>
      </c>
      <c r="U990" t="s">
        <v>34</v>
      </c>
      <c r="V990" t="str">
        <f>""</f>
        <v/>
      </c>
      <c r="W990">
        <v>20150128</v>
      </c>
      <c r="X990" t="s">
        <v>680</v>
      </c>
      <c r="Y990" t="s">
        <v>678</v>
      </c>
      <c r="Z990" t="s">
        <v>678</v>
      </c>
      <c r="AA990">
        <v>0</v>
      </c>
      <c r="AB990" t="s">
        <v>142</v>
      </c>
      <c r="AC990" t="s">
        <v>41</v>
      </c>
      <c r="AD990" t="s">
        <v>40</v>
      </c>
      <c r="AE990" t="str">
        <f t="shared" si="284"/>
        <v>01</v>
      </c>
      <c r="AF990" t="s">
        <v>40</v>
      </c>
    </row>
    <row r="991" spans="1:32" x14ac:dyDescent="0.25">
      <c r="A991">
        <v>5</v>
      </c>
      <c r="B991">
        <v>420</v>
      </c>
      <c r="C991" t="str">
        <f t="shared" ref="C991:C1014" si="288">"51"</f>
        <v>51</v>
      </c>
      <c r="D991">
        <v>6269</v>
      </c>
      <c r="E991" t="str">
        <f t="shared" ref="E991:E1012" si="289">"00"</f>
        <v>00</v>
      </c>
      <c r="F991" t="str">
        <f t="shared" ref="F991:F1017" si="290">"999"</f>
        <v>999</v>
      </c>
      <c r="G991">
        <v>5</v>
      </c>
      <c r="H991" t="str">
        <f t="shared" ref="H991:H1017" si="291">"99"</f>
        <v>99</v>
      </c>
      <c r="I991" t="str">
        <f t="shared" si="279"/>
        <v>0</v>
      </c>
      <c r="J991" t="str">
        <f t="shared" si="286"/>
        <v>00</v>
      </c>
      <c r="K991">
        <v>20150130</v>
      </c>
      <c r="L991" t="str">
        <f t="shared" si="282"/>
        <v>014750</v>
      </c>
      <c r="M991" t="str">
        <f t="shared" si="283"/>
        <v>00015</v>
      </c>
      <c r="N991" t="s">
        <v>44</v>
      </c>
      <c r="O991">
        <v>99</v>
      </c>
      <c r="Q991" t="s">
        <v>33</v>
      </c>
      <c r="R991" t="s">
        <v>34</v>
      </c>
      <c r="S991" t="s">
        <v>35</v>
      </c>
      <c r="T991" t="s">
        <v>35</v>
      </c>
      <c r="U991" t="s">
        <v>34</v>
      </c>
      <c r="V991" t="str">
        <f>""</f>
        <v/>
      </c>
      <c r="W991">
        <v>20150128</v>
      </c>
      <c r="X991" t="s">
        <v>225</v>
      </c>
      <c r="Y991" t="s">
        <v>306</v>
      </c>
      <c r="Z991" t="s">
        <v>306</v>
      </c>
      <c r="AA991">
        <v>0</v>
      </c>
      <c r="AB991" t="s">
        <v>142</v>
      </c>
      <c r="AC991" t="s">
        <v>143</v>
      </c>
      <c r="AD991" t="s">
        <v>40</v>
      </c>
      <c r="AE991" t="str">
        <f t="shared" si="284"/>
        <v>01</v>
      </c>
      <c r="AF991" t="s">
        <v>40</v>
      </c>
    </row>
    <row r="992" spans="1:32" x14ac:dyDescent="0.25">
      <c r="A992">
        <v>5</v>
      </c>
      <c r="B992">
        <v>420</v>
      </c>
      <c r="C992" t="str">
        <f t="shared" si="288"/>
        <v>51</v>
      </c>
      <c r="D992">
        <v>6319</v>
      </c>
      <c r="E992" t="str">
        <f t="shared" si="289"/>
        <v>00</v>
      </c>
      <c r="F992" t="str">
        <f t="shared" si="290"/>
        <v>999</v>
      </c>
      <c r="G992">
        <v>5</v>
      </c>
      <c r="H992" t="str">
        <f t="shared" si="291"/>
        <v>99</v>
      </c>
      <c r="I992" t="str">
        <f t="shared" si="279"/>
        <v>0</v>
      </c>
      <c r="J992" t="str">
        <f t="shared" si="286"/>
        <v>00</v>
      </c>
      <c r="K992">
        <v>20150130</v>
      </c>
      <c r="L992" t="str">
        <f t="shared" si="282"/>
        <v>014750</v>
      </c>
      <c r="M992" t="str">
        <f t="shared" si="283"/>
        <v>00015</v>
      </c>
      <c r="N992" t="s">
        <v>44</v>
      </c>
      <c r="O992">
        <v>474.39</v>
      </c>
      <c r="Q992" t="s">
        <v>33</v>
      </c>
      <c r="R992" t="s">
        <v>34</v>
      </c>
      <c r="S992" t="s">
        <v>35</v>
      </c>
      <c r="T992" t="s">
        <v>35</v>
      </c>
      <c r="U992" t="s">
        <v>34</v>
      </c>
      <c r="V992" t="str">
        <f>""</f>
        <v/>
      </c>
      <c r="W992">
        <v>20150128</v>
      </c>
      <c r="X992" t="s">
        <v>185</v>
      </c>
      <c r="Y992" t="s">
        <v>530</v>
      </c>
      <c r="Z992" t="s">
        <v>530</v>
      </c>
      <c r="AA992">
        <v>0</v>
      </c>
      <c r="AB992" t="s">
        <v>142</v>
      </c>
      <c r="AC992" t="s">
        <v>143</v>
      </c>
      <c r="AD992" t="s">
        <v>40</v>
      </c>
      <c r="AE992" t="str">
        <f t="shared" si="284"/>
        <v>01</v>
      </c>
      <c r="AF992" t="s">
        <v>40</v>
      </c>
    </row>
    <row r="993" spans="1:32" x14ac:dyDescent="0.25">
      <c r="A993">
        <v>5</v>
      </c>
      <c r="B993">
        <v>420</v>
      </c>
      <c r="C993" t="str">
        <f t="shared" si="288"/>
        <v>51</v>
      </c>
      <c r="D993">
        <v>6319</v>
      </c>
      <c r="E993" t="str">
        <f t="shared" si="289"/>
        <v>00</v>
      </c>
      <c r="F993" t="str">
        <f t="shared" si="290"/>
        <v>999</v>
      </c>
      <c r="G993">
        <v>5</v>
      </c>
      <c r="H993" t="str">
        <f t="shared" si="291"/>
        <v>99</v>
      </c>
      <c r="I993" t="str">
        <f t="shared" si="279"/>
        <v>0</v>
      </c>
      <c r="J993" t="str">
        <f t="shared" si="286"/>
        <v>00</v>
      </c>
      <c r="K993">
        <v>20150130</v>
      </c>
      <c r="L993" t="str">
        <f t="shared" si="282"/>
        <v>014750</v>
      </c>
      <c r="M993" t="str">
        <f t="shared" si="283"/>
        <v>00015</v>
      </c>
      <c r="N993" t="s">
        <v>44</v>
      </c>
      <c r="O993" s="1">
        <v>1057.26</v>
      </c>
      <c r="Q993" t="s">
        <v>33</v>
      </c>
      <c r="R993" t="s">
        <v>34</v>
      </c>
      <c r="S993" t="s">
        <v>35</v>
      </c>
      <c r="T993" t="s">
        <v>35</v>
      </c>
      <c r="U993" t="s">
        <v>34</v>
      </c>
      <c r="V993" t="str">
        <f>""</f>
        <v/>
      </c>
      <c r="W993">
        <v>20150128</v>
      </c>
      <c r="X993" t="s">
        <v>185</v>
      </c>
      <c r="Y993" t="s">
        <v>529</v>
      </c>
      <c r="Z993" t="s">
        <v>529</v>
      </c>
      <c r="AA993">
        <v>0</v>
      </c>
      <c r="AB993" t="s">
        <v>142</v>
      </c>
      <c r="AC993" t="s">
        <v>143</v>
      </c>
      <c r="AD993" t="s">
        <v>40</v>
      </c>
      <c r="AE993" t="str">
        <f t="shared" si="284"/>
        <v>01</v>
      </c>
      <c r="AF993" t="s">
        <v>40</v>
      </c>
    </row>
    <row r="994" spans="1:32" x14ac:dyDescent="0.25">
      <c r="A994">
        <v>5</v>
      </c>
      <c r="B994">
        <v>420</v>
      </c>
      <c r="C994" t="str">
        <f t="shared" si="288"/>
        <v>51</v>
      </c>
      <c r="D994">
        <v>6319</v>
      </c>
      <c r="E994" t="str">
        <f t="shared" si="289"/>
        <v>00</v>
      </c>
      <c r="F994" t="str">
        <f t="shared" si="290"/>
        <v>999</v>
      </c>
      <c r="G994">
        <v>5</v>
      </c>
      <c r="H994" t="str">
        <f t="shared" si="291"/>
        <v>99</v>
      </c>
      <c r="I994" t="str">
        <f t="shared" si="279"/>
        <v>0</v>
      </c>
      <c r="J994" t="str">
        <f t="shared" si="286"/>
        <v>00</v>
      </c>
      <c r="K994">
        <v>20150130</v>
      </c>
      <c r="L994" t="str">
        <f t="shared" si="282"/>
        <v>014750</v>
      </c>
      <c r="M994" t="str">
        <f t="shared" si="283"/>
        <v>00015</v>
      </c>
      <c r="N994" t="s">
        <v>44</v>
      </c>
      <c r="O994">
        <v>54</v>
      </c>
      <c r="Q994" t="s">
        <v>33</v>
      </c>
      <c r="R994" t="s">
        <v>34</v>
      </c>
      <c r="S994" t="s">
        <v>35</v>
      </c>
      <c r="T994" t="s">
        <v>35</v>
      </c>
      <c r="U994" t="s">
        <v>34</v>
      </c>
      <c r="V994" t="str">
        <f>""</f>
        <v/>
      </c>
      <c r="W994">
        <v>20150128</v>
      </c>
      <c r="X994" t="s">
        <v>185</v>
      </c>
      <c r="Y994" t="s">
        <v>532</v>
      </c>
      <c r="Z994" t="s">
        <v>532</v>
      </c>
      <c r="AA994">
        <v>0</v>
      </c>
      <c r="AB994" t="s">
        <v>142</v>
      </c>
      <c r="AC994" t="s">
        <v>143</v>
      </c>
      <c r="AD994" t="s">
        <v>40</v>
      </c>
      <c r="AE994" t="str">
        <f t="shared" si="284"/>
        <v>01</v>
      </c>
      <c r="AF994" t="s">
        <v>40</v>
      </c>
    </row>
    <row r="995" spans="1:32" x14ac:dyDescent="0.25">
      <c r="A995">
        <v>5</v>
      </c>
      <c r="B995">
        <v>420</v>
      </c>
      <c r="C995" t="str">
        <f t="shared" si="288"/>
        <v>51</v>
      </c>
      <c r="D995">
        <v>6319</v>
      </c>
      <c r="E995" t="str">
        <f t="shared" si="289"/>
        <v>00</v>
      </c>
      <c r="F995" t="str">
        <f t="shared" si="290"/>
        <v>999</v>
      </c>
      <c r="G995">
        <v>5</v>
      </c>
      <c r="H995" t="str">
        <f t="shared" si="291"/>
        <v>99</v>
      </c>
      <c r="I995" t="str">
        <f t="shared" si="279"/>
        <v>0</v>
      </c>
      <c r="J995" t="str">
        <f t="shared" si="286"/>
        <v>00</v>
      </c>
      <c r="K995">
        <v>20150130</v>
      </c>
      <c r="L995" t="str">
        <f t="shared" si="282"/>
        <v>014750</v>
      </c>
      <c r="M995" t="str">
        <f t="shared" si="283"/>
        <v>00015</v>
      </c>
      <c r="N995" t="s">
        <v>44</v>
      </c>
      <c r="O995">
        <v>80.7</v>
      </c>
      <c r="Q995" t="s">
        <v>33</v>
      </c>
      <c r="R995" t="s">
        <v>34</v>
      </c>
      <c r="S995" t="s">
        <v>35</v>
      </c>
      <c r="T995" t="s">
        <v>35</v>
      </c>
      <c r="U995" t="s">
        <v>34</v>
      </c>
      <c r="V995" t="str">
        <f>""</f>
        <v/>
      </c>
      <c r="W995">
        <v>20150128</v>
      </c>
      <c r="X995" t="s">
        <v>185</v>
      </c>
      <c r="Y995" t="s">
        <v>533</v>
      </c>
      <c r="Z995" t="s">
        <v>533</v>
      </c>
      <c r="AA995">
        <v>0</v>
      </c>
      <c r="AB995" t="s">
        <v>142</v>
      </c>
      <c r="AC995" t="s">
        <v>143</v>
      </c>
      <c r="AD995" t="s">
        <v>40</v>
      </c>
      <c r="AE995" t="str">
        <f t="shared" si="284"/>
        <v>01</v>
      </c>
      <c r="AF995" t="s">
        <v>40</v>
      </c>
    </row>
    <row r="996" spans="1:32" x14ac:dyDescent="0.25">
      <c r="A996">
        <v>5</v>
      </c>
      <c r="B996">
        <v>420</v>
      </c>
      <c r="C996" t="str">
        <f t="shared" si="288"/>
        <v>51</v>
      </c>
      <c r="D996">
        <v>6319</v>
      </c>
      <c r="E996" t="str">
        <f t="shared" si="289"/>
        <v>00</v>
      </c>
      <c r="F996" t="str">
        <f t="shared" si="290"/>
        <v>999</v>
      </c>
      <c r="G996">
        <v>5</v>
      </c>
      <c r="H996" t="str">
        <f t="shared" si="291"/>
        <v>99</v>
      </c>
      <c r="I996" t="str">
        <f t="shared" si="279"/>
        <v>0</v>
      </c>
      <c r="J996" t="str">
        <f t="shared" si="286"/>
        <v>00</v>
      </c>
      <c r="K996">
        <v>20150130</v>
      </c>
      <c r="L996" t="str">
        <f t="shared" si="282"/>
        <v>014750</v>
      </c>
      <c r="M996" t="str">
        <f t="shared" si="283"/>
        <v>00015</v>
      </c>
      <c r="N996" t="s">
        <v>44</v>
      </c>
      <c r="O996">
        <v>450</v>
      </c>
      <c r="Q996" t="s">
        <v>33</v>
      </c>
      <c r="R996" t="s">
        <v>34</v>
      </c>
      <c r="S996" t="s">
        <v>35</v>
      </c>
      <c r="T996" t="s">
        <v>35</v>
      </c>
      <c r="U996" t="s">
        <v>34</v>
      </c>
      <c r="V996" t="str">
        <f>""</f>
        <v/>
      </c>
      <c r="W996">
        <v>20150128</v>
      </c>
      <c r="X996" t="s">
        <v>185</v>
      </c>
      <c r="Y996" t="s">
        <v>681</v>
      </c>
      <c r="Z996" t="s">
        <v>681</v>
      </c>
      <c r="AA996">
        <v>0</v>
      </c>
      <c r="AB996" t="s">
        <v>142</v>
      </c>
      <c r="AC996" t="s">
        <v>143</v>
      </c>
      <c r="AD996" t="s">
        <v>40</v>
      </c>
      <c r="AE996" t="str">
        <f t="shared" si="284"/>
        <v>01</v>
      </c>
      <c r="AF996" t="s">
        <v>40</v>
      </c>
    </row>
    <row r="997" spans="1:32" x14ac:dyDescent="0.25">
      <c r="A997">
        <v>5</v>
      </c>
      <c r="B997">
        <v>420</v>
      </c>
      <c r="C997" t="str">
        <f t="shared" si="288"/>
        <v>51</v>
      </c>
      <c r="D997">
        <v>6319</v>
      </c>
      <c r="E997" t="str">
        <f t="shared" si="289"/>
        <v>00</v>
      </c>
      <c r="F997" t="str">
        <f t="shared" si="290"/>
        <v>999</v>
      </c>
      <c r="G997">
        <v>5</v>
      </c>
      <c r="H997" t="str">
        <f t="shared" si="291"/>
        <v>99</v>
      </c>
      <c r="I997" t="str">
        <f t="shared" si="279"/>
        <v>0</v>
      </c>
      <c r="J997" t="str">
        <f t="shared" si="286"/>
        <v>00</v>
      </c>
      <c r="K997">
        <v>20150130</v>
      </c>
      <c r="L997" t="str">
        <f t="shared" si="282"/>
        <v>014750</v>
      </c>
      <c r="M997" t="str">
        <f t="shared" si="283"/>
        <v>00015</v>
      </c>
      <c r="N997" t="s">
        <v>44</v>
      </c>
      <c r="O997">
        <v>931.24</v>
      </c>
      <c r="Q997" t="s">
        <v>33</v>
      </c>
      <c r="R997" t="s">
        <v>34</v>
      </c>
      <c r="S997" t="s">
        <v>35</v>
      </c>
      <c r="T997" t="s">
        <v>35</v>
      </c>
      <c r="U997" t="s">
        <v>34</v>
      </c>
      <c r="V997" t="str">
        <f>""</f>
        <v/>
      </c>
      <c r="W997">
        <v>20150128</v>
      </c>
      <c r="X997" t="s">
        <v>185</v>
      </c>
      <c r="Y997" t="s">
        <v>682</v>
      </c>
      <c r="Z997" t="s">
        <v>682</v>
      </c>
      <c r="AA997">
        <v>0</v>
      </c>
      <c r="AB997" t="s">
        <v>142</v>
      </c>
      <c r="AC997" t="s">
        <v>143</v>
      </c>
      <c r="AD997" t="s">
        <v>40</v>
      </c>
      <c r="AE997" t="str">
        <f t="shared" si="284"/>
        <v>01</v>
      </c>
      <c r="AF997" t="s">
        <v>40</v>
      </c>
    </row>
    <row r="998" spans="1:32" x14ac:dyDescent="0.25">
      <c r="A998">
        <v>5</v>
      </c>
      <c r="B998">
        <v>420</v>
      </c>
      <c r="C998" t="str">
        <f t="shared" si="288"/>
        <v>51</v>
      </c>
      <c r="D998">
        <v>6319</v>
      </c>
      <c r="E998" t="str">
        <f t="shared" si="289"/>
        <v>00</v>
      </c>
      <c r="F998" t="str">
        <f t="shared" si="290"/>
        <v>999</v>
      </c>
      <c r="G998">
        <v>5</v>
      </c>
      <c r="H998" t="str">
        <f t="shared" si="291"/>
        <v>99</v>
      </c>
      <c r="I998" t="str">
        <f t="shared" si="279"/>
        <v>0</v>
      </c>
      <c r="J998" t="str">
        <f t="shared" si="286"/>
        <v>00</v>
      </c>
      <c r="K998">
        <v>20150130</v>
      </c>
      <c r="L998" t="str">
        <f t="shared" si="282"/>
        <v>014750</v>
      </c>
      <c r="M998" t="str">
        <f t="shared" si="283"/>
        <v>00015</v>
      </c>
      <c r="N998" t="s">
        <v>44</v>
      </c>
      <c r="O998">
        <v>123.12</v>
      </c>
      <c r="Q998" t="s">
        <v>33</v>
      </c>
      <c r="R998" t="s">
        <v>34</v>
      </c>
      <c r="S998" t="s">
        <v>35</v>
      </c>
      <c r="T998" t="s">
        <v>35</v>
      </c>
      <c r="U998" t="s">
        <v>34</v>
      </c>
      <c r="V998" t="str">
        <f>""</f>
        <v/>
      </c>
      <c r="W998">
        <v>20150128</v>
      </c>
      <c r="X998" t="s">
        <v>185</v>
      </c>
      <c r="Y998" t="s">
        <v>683</v>
      </c>
      <c r="Z998" t="s">
        <v>683</v>
      </c>
      <c r="AA998">
        <v>0</v>
      </c>
      <c r="AB998" t="s">
        <v>142</v>
      </c>
      <c r="AC998" t="s">
        <v>143</v>
      </c>
      <c r="AD998" t="s">
        <v>40</v>
      </c>
      <c r="AE998" t="str">
        <f t="shared" si="284"/>
        <v>01</v>
      </c>
      <c r="AF998" t="s">
        <v>40</v>
      </c>
    </row>
    <row r="999" spans="1:32" x14ac:dyDescent="0.25">
      <c r="A999">
        <v>5</v>
      </c>
      <c r="B999">
        <v>420</v>
      </c>
      <c r="C999" t="str">
        <f t="shared" si="288"/>
        <v>51</v>
      </c>
      <c r="D999">
        <v>6319</v>
      </c>
      <c r="E999" t="str">
        <f t="shared" si="289"/>
        <v>00</v>
      </c>
      <c r="F999" t="str">
        <f t="shared" si="290"/>
        <v>999</v>
      </c>
      <c r="G999">
        <v>5</v>
      </c>
      <c r="H999" t="str">
        <f t="shared" si="291"/>
        <v>99</v>
      </c>
      <c r="I999" t="str">
        <f t="shared" si="279"/>
        <v>0</v>
      </c>
      <c r="J999" t="str">
        <f t="shared" si="286"/>
        <v>00</v>
      </c>
      <c r="K999">
        <v>20150130</v>
      </c>
      <c r="L999" t="str">
        <f t="shared" si="282"/>
        <v>014750</v>
      </c>
      <c r="M999" t="str">
        <f t="shared" si="283"/>
        <v>00015</v>
      </c>
      <c r="N999" t="s">
        <v>44</v>
      </c>
      <c r="O999">
        <v>369.52</v>
      </c>
      <c r="Q999" t="s">
        <v>33</v>
      </c>
      <c r="R999" t="s">
        <v>34</v>
      </c>
      <c r="S999" t="s">
        <v>35</v>
      </c>
      <c r="T999" t="s">
        <v>35</v>
      </c>
      <c r="U999" t="s">
        <v>34</v>
      </c>
      <c r="V999" t="str">
        <f>""</f>
        <v/>
      </c>
      <c r="W999">
        <v>20150128</v>
      </c>
      <c r="X999" t="s">
        <v>185</v>
      </c>
      <c r="Y999" t="s">
        <v>682</v>
      </c>
      <c r="Z999" t="s">
        <v>682</v>
      </c>
      <c r="AA999">
        <v>0</v>
      </c>
      <c r="AB999" t="s">
        <v>142</v>
      </c>
      <c r="AC999" t="s">
        <v>143</v>
      </c>
      <c r="AD999" t="s">
        <v>40</v>
      </c>
      <c r="AE999" t="str">
        <f t="shared" si="284"/>
        <v>01</v>
      </c>
      <c r="AF999" t="s">
        <v>40</v>
      </c>
    </row>
    <row r="1000" spans="1:32" x14ac:dyDescent="0.25">
      <c r="A1000">
        <v>5</v>
      </c>
      <c r="B1000">
        <v>420</v>
      </c>
      <c r="C1000" t="str">
        <f t="shared" si="288"/>
        <v>51</v>
      </c>
      <c r="D1000">
        <v>6319</v>
      </c>
      <c r="E1000" t="str">
        <f t="shared" si="289"/>
        <v>00</v>
      </c>
      <c r="F1000" t="str">
        <f t="shared" si="290"/>
        <v>999</v>
      </c>
      <c r="G1000">
        <v>5</v>
      </c>
      <c r="H1000" t="str">
        <f t="shared" si="291"/>
        <v>99</v>
      </c>
      <c r="I1000" t="str">
        <f t="shared" si="279"/>
        <v>0</v>
      </c>
      <c r="J1000" t="str">
        <f t="shared" si="286"/>
        <v>00</v>
      </c>
      <c r="K1000">
        <v>20150130</v>
      </c>
      <c r="L1000" t="str">
        <f t="shared" si="282"/>
        <v>014750</v>
      </c>
      <c r="M1000" t="str">
        <f t="shared" si="283"/>
        <v>00015</v>
      </c>
      <c r="N1000" t="s">
        <v>44</v>
      </c>
      <c r="O1000">
        <v>173.5</v>
      </c>
      <c r="Q1000" t="s">
        <v>33</v>
      </c>
      <c r="R1000" t="s">
        <v>34</v>
      </c>
      <c r="S1000" t="s">
        <v>35</v>
      </c>
      <c r="T1000" t="s">
        <v>35</v>
      </c>
      <c r="U1000" t="s">
        <v>34</v>
      </c>
      <c r="V1000" t="str">
        <f>""</f>
        <v/>
      </c>
      <c r="W1000">
        <v>20150128</v>
      </c>
      <c r="X1000" t="s">
        <v>185</v>
      </c>
      <c r="Y1000" t="s">
        <v>682</v>
      </c>
      <c r="Z1000" t="s">
        <v>682</v>
      </c>
      <c r="AA1000">
        <v>0</v>
      </c>
      <c r="AB1000" t="s">
        <v>142</v>
      </c>
      <c r="AC1000" t="s">
        <v>143</v>
      </c>
      <c r="AD1000" t="s">
        <v>40</v>
      </c>
      <c r="AE1000" t="str">
        <f t="shared" si="284"/>
        <v>01</v>
      </c>
      <c r="AF1000" t="s">
        <v>40</v>
      </c>
    </row>
    <row r="1001" spans="1:32" x14ac:dyDescent="0.25">
      <c r="A1001">
        <v>5</v>
      </c>
      <c r="B1001">
        <v>420</v>
      </c>
      <c r="C1001" t="str">
        <f t="shared" si="288"/>
        <v>51</v>
      </c>
      <c r="D1001">
        <v>6319</v>
      </c>
      <c r="E1001" t="str">
        <f t="shared" si="289"/>
        <v>00</v>
      </c>
      <c r="F1001" t="str">
        <f t="shared" si="290"/>
        <v>999</v>
      </c>
      <c r="G1001">
        <v>5</v>
      </c>
      <c r="H1001" t="str">
        <f t="shared" si="291"/>
        <v>99</v>
      </c>
      <c r="I1001" t="str">
        <f t="shared" si="279"/>
        <v>0</v>
      </c>
      <c r="J1001" t="str">
        <f t="shared" si="286"/>
        <v>00</v>
      </c>
      <c r="K1001">
        <v>20150130</v>
      </c>
      <c r="L1001" t="str">
        <f t="shared" si="282"/>
        <v>014750</v>
      </c>
      <c r="M1001" t="str">
        <f t="shared" si="283"/>
        <v>00015</v>
      </c>
      <c r="N1001" t="s">
        <v>44</v>
      </c>
      <c r="O1001">
        <v>634.88</v>
      </c>
      <c r="Q1001" t="s">
        <v>33</v>
      </c>
      <c r="R1001" t="s">
        <v>34</v>
      </c>
      <c r="S1001" t="s">
        <v>35</v>
      </c>
      <c r="T1001" t="s">
        <v>35</v>
      </c>
      <c r="U1001" t="s">
        <v>34</v>
      </c>
      <c r="V1001" t="str">
        <f>""</f>
        <v/>
      </c>
      <c r="W1001">
        <v>20150128</v>
      </c>
      <c r="X1001" t="s">
        <v>185</v>
      </c>
      <c r="Y1001" t="s">
        <v>682</v>
      </c>
      <c r="Z1001" t="s">
        <v>682</v>
      </c>
      <c r="AA1001">
        <v>0</v>
      </c>
      <c r="AB1001" t="s">
        <v>142</v>
      </c>
      <c r="AC1001" t="s">
        <v>143</v>
      </c>
      <c r="AD1001" t="s">
        <v>40</v>
      </c>
      <c r="AE1001" t="str">
        <f t="shared" si="284"/>
        <v>01</v>
      </c>
      <c r="AF1001" t="s">
        <v>40</v>
      </c>
    </row>
    <row r="1002" spans="1:32" x14ac:dyDescent="0.25">
      <c r="A1002">
        <v>5</v>
      </c>
      <c r="B1002">
        <v>420</v>
      </c>
      <c r="C1002" t="str">
        <f t="shared" si="288"/>
        <v>51</v>
      </c>
      <c r="D1002">
        <v>6319</v>
      </c>
      <c r="E1002" t="str">
        <f t="shared" si="289"/>
        <v>00</v>
      </c>
      <c r="F1002" t="str">
        <f t="shared" si="290"/>
        <v>999</v>
      </c>
      <c r="G1002">
        <v>5</v>
      </c>
      <c r="H1002" t="str">
        <f t="shared" si="291"/>
        <v>99</v>
      </c>
      <c r="I1002" t="str">
        <f t="shared" si="279"/>
        <v>0</v>
      </c>
      <c r="J1002" t="str">
        <f t="shared" si="286"/>
        <v>00</v>
      </c>
      <c r="K1002">
        <v>20150130</v>
      </c>
      <c r="L1002" t="str">
        <f t="shared" si="282"/>
        <v>014750</v>
      </c>
      <c r="M1002" t="str">
        <f t="shared" si="283"/>
        <v>00015</v>
      </c>
      <c r="N1002" t="s">
        <v>44</v>
      </c>
      <c r="O1002">
        <v>61.45</v>
      </c>
      <c r="Q1002" t="s">
        <v>33</v>
      </c>
      <c r="R1002" t="s">
        <v>34</v>
      </c>
      <c r="S1002" t="s">
        <v>35</v>
      </c>
      <c r="T1002" t="s">
        <v>35</v>
      </c>
      <c r="U1002" t="s">
        <v>34</v>
      </c>
      <c r="V1002" t="str">
        <f>""</f>
        <v/>
      </c>
      <c r="W1002">
        <v>20150128</v>
      </c>
      <c r="X1002" t="s">
        <v>185</v>
      </c>
      <c r="Y1002" t="s">
        <v>530</v>
      </c>
      <c r="Z1002" t="s">
        <v>530</v>
      </c>
      <c r="AA1002">
        <v>0</v>
      </c>
      <c r="AB1002" t="s">
        <v>142</v>
      </c>
      <c r="AC1002" t="s">
        <v>143</v>
      </c>
      <c r="AD1002" t="s">
        <v>40</v>
      </c>
      <c r="AE1002" t="str">
        <f t="shared" si="284"/>
        <v>01</v>
      </c>
      <c r="AF1002" t="s">
        <v>40</v>
      </c>
    </row>
    <row r="1003" spans="1:32" x14ac:dyDescent="0.25">
      <c r="A1003">
        <v>5</v>
      </c>
      <c r="B1003">
        <v>420</v>
      </c>
      <c r="C1003" t="str">
        <f t="shared" si="288"/>
        <v>51</v>
      </c>
      <c r="D1003">
        <v>6319</v>
      </c>
      <c r="E1003" t="str">
        <f t="shared" si="289"/>
        <v>00</v>
      </c>
      <c r="F1003" t="str">
        <f t="shared" si="290"/>
        <v>999</v>
      </c>
      <c r="G1003">
        <v>5</v>
      </c>
      <c r="H1003" t="str">
        <f t="shared" si="291"/>
        <v>99</v>
      </c>
      <c r="I1003" t="str">
        <f t="shared" si="279"/>
        <v>0</v>
      </c>
      <c r="J1003" t="str">
        <f t="shared" si="286"/>
        <v>00</v>
      </c>
      <c r="K1003">
        <v>20150130</v>
      </c>
      <c r="L1003" t="str">
        <f t="shared" si="282"/>
        <v>014750</v>
      </c>
      <c r="M1003" t="str">
        <f t="shared" si="283"/>
        <v>00015</v>
      </c>
      <c r="N1003" t="s">
        <v>44</v>
      </c>
      <c r="O1003">
        <v>113.79</v>
      </c>
      <c r="Q1003" t="s">
        <v>33</v>
      </c>
      <c r="R1003" t="s">
        <v>34</v>
      </c>
      <c r="S1003" t="s">
        <v>35</v>
      </c>
      <c r="T1003" t="s">
        <v>35</v>
      </c>
      <c r="U1003" t="s">
        <v>34</v>
      </c>
      <c r="V1003" t="str">
        <f>""</f>
        <v/>
      </c>
      <c r="W1003">
        <v>20150128</v>
      </c>
      <c r="X1003" t="s">
        <v>185</v>
      </c>
      <c r="Y1003" t="s">
        <v>530</v>
      </c>
      <c r="Z1003" t="s">
        <v>530</v>
      </c>
      <c r="AA1003">
        <v>0</v>
      </c>
      <c r="AB1003" t="s">
        <v>142</v>
      </c>
      <c r="AC1003" t="s">
        <v>143</v>
      </c>
      <c r="AD1003" t="s">
        <v>40</v>
      </c>
      <c r="AE1003" t="str">
        <f t="shared" si="284"/>
        <v>01</v>
      </c>
      <c r="AF1003" t="s">
        <v>40</v>
      </c>
    </row>
    <row r="1004" spans="1:32" x14ac:dyDescent="0.25">
      <c r="A1004">
        <v>5</v>
      </c>
      <c r="B1004">
        <v>420</v>
      </c>
      <c r="C1004" t="str">
        <f t="shared" si="288"/>
        <v>51</v>
      </c>
      <c r="D1004">
        <v>6319</v>
      </c>
      <c r="E1004" t="str">
        <f t="shared" si="289"/>
        <v>00</v>
      </c>
      <c r="F1004" t="str">
        <f t="shared" si="290"/>
        <v>999</v>
      </c>
      <c r="G1004">
        <v>5</v>
      </c>
      <c r="H1004" t="str">
        <f t="shared" si="291"/>
        <v>99</v>
      </c>
      <c r="I1004" t="str">
        <f t="shared" si="279"/>
        <v>0</v>
      </c>
      <c r="J1004" t="str">
        <f t="shared" si="286"/>
        <v>00</v>
      </c>
      <c r="K1004">
        <v>20150130</v>
      </c>
      <c r="L1004" t="str">
        <f t="shared" si="282"/>
        <v>014750</v>
      </c>
      <c r="M1004" t="str">
        <f t="shared" si="283"/>
        <v>00015</v>
      </c>
      <c r="N1004" t="s">
        <v>44</v>
      </c>
      <c r="O1004" s="1">
        <v>3450.22</v>
      </c>
      <c r="Q1004" t="s">
        <v>33</v>
      </c>
      <c r="R1004" t="s">
        <v>34</v>
      </c>
      <c r="S1004" t="s">
        <v>35</v>
      </c>
      <c r="T1004" t="s">
        <v>35</v>
      </c>
      <c r="U1004" t="s">
        <v>34</v>
      </c>
      <c r="V1004" t="str">
        <f>""</f>
        <v/>
      </c>
      <c r="W1004">
        <v>20150128</v>
      </c>
      <c r="X1004" t="s">
        <v>185</v>
      </c>
      <c r="Y1004" t="s">
        <v>682</v>
      </c>
      <c r="Z1004" t="s">
        <v>682</v>
      </c>
      <c r="AA1004">
        <v>0</v>
      </c>
      <c r="AB1004" t="s">
        <v>142</v>
      </c>
      <c r="AC1004" t="s">
        <v>143</v>
      </c>
      <c r="AD1004" t="s">
        <v>40</v>
      </c>
      <c r="AE1004" t="str">
        <f t="shared" si="284"/>
        <v>01</v>
      </c>
      <c r="AF1004" t="s">
        <v>40</v>
      </c>
    </row>
    <row r="1005" spans="1:32" x14ac:dyDescent="0.25">
      <c r="A1005">
        <v>5</v>
      </c>
      <c r="B1005">
        <v>420</v>
      </c>
      <c r="C1005" t="str">
        <f t="shared" si="288"/>
        <v>51</v>
      </c>
      <c r="D1005">
        <v>6319</v>
      </c>
      <c r="E1005" t="str">
        <f t="shared" si="289"/>
        <v>00</v>
      </c>
      <c r="F1005" t="str">
        <f t="shared" si="290"/>
        <v>999</v>
      </c>
      <c r="G1005">
        <v>5</v>
      </c>
      <c r="H1005" t="str">
        <f t="shared" si="291"/>
        <v>99</v>
      </c>
      <c r="I1005" t="str">
        <f t="shared" si="279"/>
        <v>0</v>
      </c>
      <c r="J1005" t="str">
        <f t="shared" si="286"/>
        <v>00</v>
      </c>
      <c r="K1005">
        <v>20150130</v>
      </c>
      <c r="L1005" t="str">
        <f t="shared" si="282"/>
        <v>014750</v>
      </c>
      <c r="M1005" t="str">
        <f t="shared" si="283"/>
        <v>00015</v>
      </c>
      <c r="N1005" t="s">
        <v>44</v>
      </c>
      <c r="O1005" s="1">
        <v>1190.1099999999999</v>
      </c>
      <c r="Q1005" t="s">
        <v>33</v>
      </c>
      <c r="R1005" t="s">
        <v>34</v>
      </c>
      <c r="S1005" t="s">
        <v>35</v>
      </c>
      <c r="T1005" t="s">
        <v>35</v>
      </c>
      <c r="U1005" t="s">
        <v>34</v>
      </c>
      <c r="V1005" t="str">
        <f>""</f>
        <v/>
      </c>
      <c r="W1005">
        <v>20150128</v>
      </c>
      <c r="X1005" t="s">
        <v>185</v>
      </c>
      <c r="Y1005" t="s">
        <v>682</v>
      </c>
      <c r="Z1005" t="s">
        <v>682</v>
      </c>
      <c r="AA1005">
        <v>0</v>
      </c>
      <c r="AB1005" t="s">
        <v>142</v>
      </c>
      <c r="AC1005" t="s">
        <v>143</v>
      </c>
      <c r="AD1005" t="s">
        <v>40</v>
      </c>
      <c r="AE1005" t="str">
        <f t="shared" si="284"/>
        <v>01</v>
      </c>
      <c r="AF1005" t="s">
        <v>40</v>
      </c>
    </row>
    <row r="1006" spans="1:32" x14ac:dyDescent="0.25">
      <c r="A1006">
        <v>5</v>
      </c>
      <c r="B1006">
        <v>420</v>
      </c>
      <c r="C1006" t="str">
        <f t="shared" si="288"/>
        <v>51</v>
      </c>
      <c r="D1006">
        <v>6319</v>
      </c>
      <c r="E1006" t="str">
        <f t="shared" si="289"/>
        <v>00</v>
      </c>
      <c r="F1006" t="str">
        <f t="shared" si="290"/>
        <v>999</v>
      </c>
      <c r="G1006">
        <v>5</v>
      </c>
      <c r="H1006" t="str">
        <f t="shared" si="291"/>
        <v>99</v>
      </c>
      <c r="I1006" t="str">
        <f t="shared" si="279"/>
        <v>0</v>
      </c>
      <c r="J1006" t="str">
        <f t="shared" si="286"/>
        <v>00</v>
      </c>
      <c r="K1006">
        <v>20150130</v>
      </c>
      <c r="L1006" t="str">
        <f t="shared" si="282"/>
        <v>014750</v>
      </c>
      <c r="M1006" t="str">
        <f t="shared" si="283"/>
        <v>00015</v>
      </c>
      <c r="N1006" t="s">
        <v>44</v>
      </c>
      <c r="O1006" s="1">
        <v>4222</v>
      </c>
      <c r="Q1006" t="s">
        <v>33</v>
      </c>
      <c r="R1006" t="s">
        <v>34</v>
      </c>
      <c r="S1006" t="s">
        <v>35</v>
      </c>
      <c r="T1006" t="s">
        <v>35</v>
      </c>
      <c r="U1006" t="s">
        <v>34</v>
      </c>
      <c r="V1006" t="str">
        <f>""</f>
        <v/>
      </c>
      <c r="W1006">
        <v>20150128</v>
      </c>
      <c r="X1006" t="s">
        <v>185</v>
      </c>
      <c r="Y1006" t="s">
        <v>684</v>
      </c>
      <c r="Z1006" t="s">
        <v>684</v>
      </c>
      <c r="AA1006">
        <v>0</v>
      </c>
      <c r="AB1006" t="s">
        <v>142</v>
      </c>
      <c r="AC1006" t="s">
        <v>143</v>
      </c>
      <c r="AD1006" t="s">
        <v>40</v>
      </c>
      <c r="AE1006" t="str">
        <f t="shared" si="284"/>
        <v>01</v>
      </c>
      <c r="AF1006" t="s">
        <v>40</v>
      </c>
    </row>
    <row r="1007" spans="1:32" x14ac:dyDescent="0.25">
      <c r="A1007">
        <v>5</v>
      </c>
      <c r="B1007">
        <v>420</v>
      </c>
      <c r="C1007" t="str">
        <f t="shared" si="288"/>
        <v>51</v>
      </c>
      <c r="D1007">
        <v>6319</v>
      </c>
      <c r="E1007" t="str">
        <f t="shared" si="289"/>
        <v>00</v>
      </c>
      <c r="F1007" t="str">
        <f t="shared" si="290"/>
        <v>999</v>
      </c>
      <c r="G1007">
        <v>5</v>
      </c>
      <c r="H1007" t="str">
        <f t="shared" si="291"/>
        <v>99</v>
      </c>
      <c r="I1007" t="str">
        <f t="shared" si="279"/>
        <v>0</v>
      </c>
      <c r="J1007" t="str">
        <f t="shared" si="286"/>
        <v>00</v>
      </c>
      <c r="K1007">
        <v>20150130</v>
      </c>
      <c r="L1007" t="str">
        <f t="shared" si="282"/>
        <v>014750</v>
      </c>
      <c r="M1007" t="str">
        <f t="shared" si="283"/>
        <v>00015</v>
      </c>
      <c r="N1007" t="s">
        <v>44</v>
      </c>
      <c r="O1007" s="1">
        <v>2044.93</v>
      </c>
      <c r="Q1007" t="s">
        <v>33</v>
      </c>
      <c r="R1007" t="s">
        <v>34</v>
      </c>
      <c r="S1007" t="s">
        <v>35</v>
      </c>
      <c r="T1007" t="s">
        <v>35</v>
      </c>
      <c r="U1007" t="s">
        <v>34</v>
      </c>
      <c r="V1007" t="str">
        <f>""</f>
        <v/>
      </c>
      <c r="W1007">
        <v>20150128</v>
      </c>
      <c r="X1007" t="s">
        <v>185</v>
      </c>
      <c r="Y1007" t="s">
        <v>685</v>
      </c>
      <c r="Z1007" t="s">
        <v>685</v>
      </c>
      <c r="AA1007">
        <v>0</v>
      </c>
      <c r="AB1007" t="s">
        <v>142</v>
      </c>
      <c r="AC1007" t="s">
        <v>143</v>
      </c>
      <c r="AD1007" t="s">
        <v>40</v>
      </c>
      <c r="AE1007" t="str">
        <f t="shared" si="284"/>
        <v>01</v>
      </c>
      <c r="AF1007" t="s">
        <v>40</v>
      </c>
    </row>
    <row r="1008" spans="1:32" x14ac:dyDescent="0.25">
      <c r="A1008">
        <v>5</v>
      </c>
      <c r="B1008">
        <v>420</v>
      </c>
      <c r="C1008" t="str">
        <f t="shared" si="288"/>
        <v>51</v>
      </c>
      <c r="D1008">
        <v>6319</v>
      </c>
      <c r="E1008" t="str">
        <f t="shared" si="289"/>
        <v>00</v>
      </c>
      <c r="F1008" t="str">
        <f t="shared" si="290"/>
        <v>999</v>
      </c>
      <c r="G1008">
        <v>5</v>
      </c>
      <c r="H1008" t="str">
        <f t="shared" si="291"/>
        <v>99</v>
      </c>
      <c r="I1008" t="str">
        <f t="shared" si="279"/>
        <v>0</v>
      </c>
      <c r="J1008" t="str">
        <f t="shared" si="286"/>
        <v>00</v>
      </c>
      <c r="K1008">
        <v>20150130</v>
      </c>
      <c r="L1008" t="str">
        <f t="shared" si="282"/>
        <v>014750</v>
      </c>
      <c r="M1008" t="str">
        <f t="shared" si="283"/>
        <v>00015</v>
      </c>
      <c r="N1008" t="s">
        <v>44</v>
      </c>
      <c r="O1008" s="1">
        <v>1889.07</v>
      </c>
      <c r="Q1008" t="s">
        <v>33</v>
      </c>
      <c r="R1008" t="s">
        <v>34</v>
      </c>
      <c r="S1008" t="s">
        <v>35</v>
      </c>
      <c r="T1008" t="s">
        <v>35</v>
      </c>
      <c r="U1008" t="s">
        <v>34</v>
      </c>
      <c r="V1008" t="str">
        <f>""</f>
        <v/>
      </c>
      <c r="W1008">
        <v>20150128</v>
      </c>
      <c r="X1008" t="s">
        <v>185</v>
      </c>
      <c r="Y1008" t="s">
        <v>685</v>
      </c>
      <c r="Z1008" t="s">
        <v>685</v>
      </c>
      <c r="AA1008">
        <v>0</v>
      </c>
      <c r="AB1008" t="s">
        <v>142</v>
      </c>
      <c r="AC1008" t="s">
        <v>143</v>
      </c>
      <c r="AD1008" t="s">
        <v>40</v>
      </c>
      <c r="AE1008" t="str">
        <f t="shared" si="284"/>
        <v>01</v>
      </c>
      <c r="AF1008" t="s">
        <v>40</v>
      </c>
    </row>
    <row r="1009" spans="1:32" x14ac:dyDescent="0.25">
      <c r="A1009">
        <v>5</v>
      </c>
      <c r="B1009">
        <v>420</v>
      </c>
      <c r="C1009" t="str">
        <f t="shared" si="288"/>
        <v>51</v>
      </c>
      <c r="D1009">
        <v>6319</v>
      </c>
      <c r="E1009" t="str">
        <f t="shared" si="289"/>
        <v>00</v>
      </c>
      <c r="F1009" t="str">
        <f t="shared" si="290"/>
        <v>999</v>
      </c>
      <c r="G1009">
        <v>5</v>
      </c>
      <c r="H1009" t="str">
        <f t="shared" si="291"/>
        <v>99</v>
      </c>
      <c r="I1009" t="str">
        <f t="shared" si="279"/>
        <v>0</v>
      </c>
      <c r="J1009" t="str">
        <f t="shared" si="286"/>
        <v>00</v>
      </c>
      <c r="K1009">
        <v>20150130</v>
      </c>
      <c r="L1009" t="str">
        <f t="shared" si="282"/>
        <v>014750</v>
      </c>
      <c r="M1009" t="str">
        <f t="shared" si="283"/>
        <v>00015</v>
      </c>
      <c r="N1009" t="s">
        <v>44</v>
      </c>
      <c r="O1009">
        <v>313.88</v>
      </c>
      <c r="Q1009" t="s">
        <v>33</v>
      </c>
      <c r="R1009" t="s">
        <v>34</v>
      </c>
      <c r="S1009" t="s">
        <v>35</v>
      </c>
      <c r="T1009" t="s">
        <v>35</v>
      </c>
      <c r="U1009" t="s">
        <v>34</v>
      </c>
      <c r="V1009" t="str">
        <f>""</f>
        <v/>
      </c>
      <c r="W1009">
        <v>20150128</v>
      </c>
      <c r="X1009" t="s">
        <v>185</v>
      </c>
      <c r="Y1009" t="s">
        <v>685</v>
      </c>
      <c r="Z1009" t="s">
        <v>685</v>
      </c>
      <c r="AA1009">
        <v>0</v>
      </c>
      <c r="AB1009" t="s">
        <v>142</v>
      </c>
      <c r="AC1009" t="s">
        <v>143</v>
      </c>
      <c r="AD1009" t="s">
        <v>40</v>
      </c>
      <c r="AE1009" t="str">
        <f t="shared" si="284"/>
        <v>01</v>
      </c>
      <c r="AF1009" t="s">
        <v>40</v>
      </c>
    </row>
    <row r="1010" spans="1:32" x14ac:dyDescent="0.25">
      <c r="A1010">
        <v>5</v>
      </c>
      <c r="B1010">
        <v>420</v>
      </c>
      <c r="C1010" t="str">
        <f t="shared" si="288"/>
        <v>51</v>
      </c>
      <c r="D1010">
        <v>6319</v>
      </c>
      <c r="E1010" t="str">
        <f t="shared" si="289"/>
        <v>00</v>
      </c>
      <c r="F1010" t="str">
        <f t="shared" si="290"/>
        <v>999</v>
      </c>
      <c r="G1010">
        <v>5</v>
      </c>
      <c r="H1010" t="str">
        <f t="shared" si="291"/>
        <v>99</v>
      </c>
      <c r="I1010" t="str">
        <f t="shared" si="279"/>
        <v>0</v>
      </c>
      <c r="J1010" t="str">
        <f t="shared" si="286"/>
        <v>00</v>
      </c>
      <c r="K1010">
        <v>20150130</v>
      </c>
      <c r="L1010" t="str">
        <f t="shared" si="282"/>
        <v>014750</v>
      </c>
      <c r="M1010" t="str">
        <f t="shared" si="283"/>
        <v>00015</v>
      </c>
      <c r="N1010" t="s">
        <v>44</v>
      </c>
      <c r="O1010">
        <v>38.31</v>
      </c>
      <c r="Q1010" t="s">
        <v>33</v>
      </c>
      <c r="R1010" t="s">
        <v>34</v>
      </c>
      <c r="S1010" t="s">
        <v>35</v>
      </c>
      <c r="T1010" t="s">
        <v>35</v>
      </c>
      <c r="U1010" t="s">
        <v>34</v>
      </c>
      <c r="V1010" t="str">
        <f>""</f>
        <v/>
      </c>
      <c r="W1010">
        <v>20150128</v>
      </c>
      <c r="X1010" t="s">
        <v>185</v>
      </c>
      <c r="Y1010" t="s">
        <v>685</v>
      </c>
      <c r="Z1010" t="s">
        <v>685</v>
      </c>
      <c r="AA1010">
        <v>0</v>
      </c>
      <c r="AB1010" t="s">
        <v>142</v>
      </c>
      <c r="AC1010" t="s">
        <v>143</v>
      </c>
      <c r="AD1010" t="s">
        <v>40</v>
      </c>
      <c r="AE1010" t="str">
        <f t="shared" si="284"/>
        <v>01</v>
      </c>
      <c r="AF1010" t="s">
        <v>40</v>
      </c>
    </row>
    <row r="1011" spans="1:32" x14ac:dyDescent="0.25">
      <c r="A1011">
        <v>5</v>
      </c>
      <c r="B1011">
        <v>420</v>
      </c>
      <c r="C1011" t="str">
        <f t="shared" si="288"/>
        <v>51</v>
      </c>
      <c r="D1011">
        <v>6319</v>
      </c>
      <c r="E1011" t="str">
        <f t="shared" si="289"/>
        <v>00</v>
      </c>
      <c r="F1011" t="str">
        <f t="shared" si="290"/>
        <v>999</v>
      </c>
      <c r="G1011">
        <v>5</v>
      </c>
      <c r="H1011" t="str">
        <f t="shared" si="291"/>
        <v>99</v>
      </c>
      <c r="I1011" t="str">
        <f t="shared" si="279"/>
        <v>0</v>
      </c>
      <c r="J1011" t="str">
        <f t="shared" si="286"/>
        <v>00</v>
      </c>
      <c r="K1011">
        <v>20150130</v>
      </c>
      <c r="L1011" t="str">
        <f t="shared" si="282"/>
        <v>014750</v>
      </c>
      <c r="M1011" t="str">
        <f t="shared" si="283"/>
        <v>00015</v>
      </c>
      <c r="N1011" t="s">
        <v>44</v>
      </c>
      <c r="O1011">
        <v>276.47000000000003</v>
      </c>
      <c r="Q1011" t="s">
        <v>33</v>
      </c>
      <c r="R1011" t="s">
        <v>34</v>
      </c>
      <c r="S1011" t="s">
        <v>35</v>
      </c>
      <c r="T1011" t="s">
        <v>35</v>
      </c>
      <c r="U1011" t="s">
        <v>34</v>
      </c>
      <c r="V1011" t="str">
        <f>""</f>
        <v/>
      </c>
      <c r="W1011">
        <v>20150128</v>
      </c>
      <c r="X1011" t="s">
        <v>185</v>
      </c>
      <c r="Y1011" t="s">
        <v>686</v>
      </c>
      <c r="Z1011" t="s">
        <v>686</v>
      </c>
      <c r="AA1011">
        <v>0</v>
      </c>
      <c r="AB1011" t="s">
        <v>142</v>
      </c>
      <c r="AC1011" t="s">
        <v>143</v>
      </c>
      <c r="AD1011" t="s">
        <v>40</v>
      </c>
      <c r="AE1011" t="str">
        <f t="shared" si="284"/>
        <v>01</v>
      </c>
      <c r="AF1011" t="s">
        <v>40</v>
      </c>
    </row>
    <row r="1012" spans="1:32" x14ac:dyDescent="0.25">
      <c r="A1012">
        <v>5</v>
      </c>
      <c r="B1012">
        <v>420</v>
      </c>
      <c r="C1012" t="str">
        <f t="shared" si="288"/>
        <v>51</v>
      </c>
      <c r="D1012">
        <v>6319</v>
      </c>
      <c r="E1012" t="str">
        <f t="shared" si="289"/>
        <v>00</v>
      </c>
      <c r="F1012" t="str">
        <f t="shared" si="290"/>
        <v>999</v>
      </c>
      <c r="G1012">
        <v>5</v>
      </c>
      <c r="H1012" t="str">
        <f t="shared" si="291"/>
        <v>99</v>
      </c>
      <c r="I1012" t="str">
        <f t="shared" si="279"/>
        <v>0</v>
      </c>
      <c r="J1012" t="str">
        <f t="shared" si="286"/>
        <v>00</v>
      </c>
      <c r="K1012">
        <v>20150130</v>
      </c>
      <c r="L1012" t="str">
        <f t="shared" si="282"/>
        <v>014750</v>
      </c>
      <c r="M1012" t="str">
        <f t="shared" si="283"/>
        <v>00015</v>
      </c>
      <c r="N1012" t="s">
        <v>44</v>
      </c>
      <c r="O1012" s="1">
        <v>-2186.9499999999998</v>
      </c>
      <c r="Q1012" t="s">
        <v>33</v>
      </c>
      <c r="R1012" t="s">
        <v>34</v>
      </c>
      <c r="S1012" t="s">
        <v>35</v>
      </c>
      <c r="T1012" t="s">
        <v>35</v>
      </c>
      <c r="U1012" t="s">
        <v>34</v>
      </c>
      <c r="V1012" t="s">
        <v>110</v>
      </c>
      <c r="W1012">
        <v>20141211</v>
      </c>
      <c r="X1012" t="s">
        <v>185</v>
      </c>
      <c r="Y1012" t="s">
        <v>687</v>
      </c>
      <c r="Z1012" t="s">
        <v>687</v>
      </c>
      <c r="AA1012">
        <v>0</v>
      </c>
      <c r="AB1012" t="s">
        <v>142</v>
      </c>
      <c r="AC1012" t="s">
        <v>143</v>
      </c>
      <c r="AD1012" t="s">
        <v>112</v>
      </c>
      <c r="AE1012" t="str">
        <f t="shared" si="284"/>
        <v>01</v>
      </c>
      <c r="AF1012" t="s">
        <v>40</v>
      </c>
    </row>
    <row r="1013" spans="1:32" x14ac:dyDescent="0.25">
      <c r="A1013">
        <v>5</v>
      </c>
      <c r="B1013">
        <v>420</v>
      </c>
      <c r="C1013" t="str">
        <f t="shared" si="288"/>
        <v>51</v>
      </c>
      <c r="D1013">
        <v>6259</v>
      </c>
      <c r="E1013" t="str">
        <f>"54"</f>
        <v>54</v>
      </c>
      <c r="F1013" t="str">
        <f t="shared" si="290"/>
        <v>999</v>
      </c>
      <c r="G1013">
        <v>5</v>
      </c>
      <c r="H1013" t="str">
        <f t="shared" si="291"/>
        <v>99</v>
      </c>
      <c r="I1013" t="str">
        <f t="shared" si="279"/>
        <v>0</v>
      </c>
      <c r="J1013" t="str">
        <f t="shared" si="286"/>
        <v>00</v>
      </c>
      <c r="K1013">
        <v>20150130</v>
      </c>
      <c r="L1013" t="str">
        <f>"014751"</f>
        <v>014751</v>
      </c>
      <c r="M1013" t="str">
        <f>"00030"</f>
        <v>00030</v>
      </c>
      <c r="N1013" t="s">
        <v>215</v>
      </c>
      <c r="O1013">
        <v>277.85000000000002</v>
      </c>
      <c r="Q1013" t="s">
        <v>33</v>
      </c>
      <c r="R1013" t="s">
        <v>34</v>
      </c>
      <c r="S1013" t="s">
        <v>35</v>
      </c>
      <c r="T1013" t="s">
        <v>35</v>
      </c>
      <c r="U1013" t="s">
        <v>34</v>
      </c>
      <c r="V1013" t="str">
        <f>""</f>
        <v/>
      </c>
      <c r="W1013">
        <v>20150129</v>
      </c>
      <c r="X1013" t="s">
        <v>216</v>
      </c>
      <c r="Y1013" t="s">
        <v>542</v>
      </c>
      <c r="Z1013" t="s">
        <v>542</v>
      </c>
      <c r="AA1013">
        <v>0</v>
      </c>
      <c r="AB1013" t="s">
        <v>142</v>
      </c>
      <c r="AC1013" t="s">
        <v>143</v>
      </c>
      <c r="AD1013" t="s">
        <v>40</v>
      </c>
      <c r="AE1013" t="str">
        <f t="shared" si="284"/>
        <v>01</v>
      </c>
      <c r="AF1013" t="s">
        <v>40</v>
      </c>
    </row>
    <row r="1014" spans="1:32" x14ac:dyDescent="0.25">
      <c r="A1014">
        <v>5</v>
      </c>
      <c r="B1014">
        <v>420</v>
      </c>
      <c r="C1014" t="str">
        <f t="shared" si="288"/>
        <v>51</v>
      </c>
      <c r="D1014">
        <v>6319</v>
      </c>
      <c r="E1014" t="str">
        <f>"00"</f>
        <v>00</v>
      </c>
      <c r="F1014" t="str">
        <f t="shared" si="290"/>
        <v>999</v>
      </c>
      <c r="G1014">
        <v>5</v>
      </c>
      <c r="H1014" t="str">
        <f t="shared" si="291"/>
        <v>99</v>
      </c>
      <c r="I1014" t="str">
        <f t="shared" si="279"/>
        <v>0</v>
      </c>
      <c r="J1014" t="str">
        <f t="shared" si="286"/>
        <v>00</v>
      </c>
      <c r="K1014">
        <v>20150130</v>
      </c>
      <c r="L1014" t="str">
        <f>"014752"</f>
        <v>014752</v>
      </c>
      <c r="M1014" t="str">
        <f>"00044"</f>
        <v>00044</v>
      </c>
      <c r="N1014" t="s">
        <v>644</v>
      </c>
      <c r="O1014">
        <v>61.71</v>
      </c>
      <c r="Q1014" t="s">
        <v>33</v>
      </c>
      <c r="R1014" t="s">
        <v>34</v>
      </c>
      <c r="S1014" t="s">
        <v>35</v>
      </c>
      <c r="T1014" t="s">
        <v>35</v>
      </c>
      <c r="U1014" t="s">
        <v>34</v>
      </c>
      <c r="V1014" t="str">
        <f>""</f>
        <v/>
      </c>
      <c r="W1014">
        <v>20150129</v>
      </c>
      <c r="X1014" t="s">
        <v>185</v>
      </c>
      <c r="Y1014" t="s">
        <v>688</v>
      </c>
      <c r="Z1014" t="s">
        <v>688</v>
      </c>
      <c r="AA1014">
        <v>0</v>
      </c>
      <c r="AB1014" t="s">
        <v>142</v>
      </c>
      <c r="AC1014" t="s">
        <v>143</v>
      </c>
      <c r="AD1014" t="s">
        <v>40</v>
      </c>
      <c r="AE1014" t="str">
        <f t="shared" si="284"/>
        <v>01</v>
      </c>
      <c r="AF1014" t="s">
        <v>40</v>
      </c>
    </row>
    <row r="1015" spans="1:32" x14ac:dyDescent="0.25">
      <c r="A1015">
        <v>5</v>
      </c>
      <c r="B1015">
        <v>240</v>
      </c>
      <c r="C1015" t="str">
        <f>"35"</f>
        <v>35</v>
      </c>
      <c r="D1015">
        <v>6341</v>
      </c>
      <c r="E1015" t="str">
        <f>"00"</f>
        <v>00</v>
      </c>
      <c r="F1015" t="str">
        <f t="shared" si="290"/>
        <v>999</v>
      </c>
      <c r="G1015">
        <v>5</v>
      </c>
      <c r="H1015" t="str">
        <f t="shared" si="291"/>
        <v>99</v>
      </c>
      <c r="I1015" t="str">
        <f t="shared" si="279"/>
        <v>0</v>
      </c>
      <c r="J1015" t="str">
        <f t="shared" si="286"/>
        <v>00</v>
      </c>
      <c r="K1015">
        <v>20150130</v>
      </c>
      <c r="L1015" t="str">
        <f>"014753"</f>
        <v>014753</v>
      </c>
      <c r="M1015" t="str">
        <f>"00048"</f>
        <v>00048</v>
      </c>
      <c r="N1015" t="s">
        <v>647</v>
      </c>
      <c r="O1015">
        <v>111.24</v>
      </c>
      <c r="Q1015" t="s">
        <v>33</v>
      </c>
      <c r="R1015" t="s">
        <v>34</v>
      </c>
      <c r="S1015" t="s">
        <v>35</v>
      </c>
      <c r="T1015" t="s">
        <v>35</v>
      </c>
      <c r="U1015" t="s">
        <v>34</v>
      </c>
      <c r="V1015" t="str">
        <f>""</f>
        <v/>
      </c>
      <c r="W1015">
        <v>20150128</v>
      </c>
      <c r="X1015" t="s">
        <v>268</v>
      </c>
      <c r="Y1015" t="s">
        <v>573</v>
      </c>
      <c r="Z1015" t="s">
        <v>573</v>
      </c>
      <c r="AA1015">
        <v>0</v>
      </c>
      <c r="AB1015" t="s">
        <v>238</v>
      </c>
      <c r="AC1015" t="s">
        <v>143</v>
      </c>
      <c r="AD1015" t="s">
        <v>40</v>
      </c>
      <c r="AE1015" t="str">
        <f t="shared" si="284"/>
        <v>01</v>
      </c>
      <c r="AF1015" t="s">
        <v>40</v>
      </c>
    </row>
    <row r="1016" spans="1:32" x14ac:dyDescent="0.25">
      <c r="A1016">
        <v>5</v>
      </c>
      <c r="B1016">
        <v>240</v>
      </c>
      <c r="C1016" t="str">
        <f>"35"</f>
        <v>35</v>
      </c>
      <c r="D1016">
        <v>6341</v>
      </c>
      <c r="E1016" t="str">
        <f>"00"</f>
        <v>00</v>
      </c>
      <c r="F1016" t="str">
        <f t="shared" si="290"/>
        <v>999</v>
      </c>
      <c r="G1016">
        <v>5</v>
      </c>
      <c r="H1016" t="str">
        <f t="shared" si="291"/>
        <v>99</v>
      </c>
      <c r="I1016" t="str">
        <f t="shared" si="279"/>
        <v>0</v>
      </c>
      <c r="J1016" t="str">
        <f t="shared" si="286"/>
        <v>00</v>
      </c>
      <c r="K1016">
        <v>20150130</v>
      </c>
      <c r="L1016" t="str">
        <f>"014753"</f>
        <v>014753</v>
      </c>
      <c r="M1016" t="str">
        <f>"00048"</f>
        <v>00048</v>
      </c>
      <c r="N1016" t="s">
        <v>647</v>
      </c>
      <c r="O1016">
        <v>111.24</v>
      </c>
      <c r="Q1016" t="s">
        <v>33</v>
      </c>
      <c r="R1016" t="s">
        <v>34</v>
      </c>
      <c r="S1016" t="s">
        <v>35</v>
      </c>
      <c r="T1016" t="s">
        <v>35</v>
      </c>
      <c r="U1016" t="s">
        <v>34</v>
      </c>
      <c r="V1016" t="str">
        <f>""</f>
        <v/>
      </c>
      <c r="W1016">
        <v>20150128</v>
      </c>
      <c r="X1016" t="s">
        <v>268</v>
      </c>
      <c r="Y1016" t="s">
        <v>573</v>
      </c>
      <c r="Z1016" t="s">
        <v>573</v>
      </c>
      <c r="AA1016">
        <v>0</v>
      </c>
      <c r="AB1016" t="s">
        <v>238</v>
      </c>
      <c r="AC1016" t="s">
        <v>143</v>
      </c>
      <c r="AD1016" t="s">
        <v>40</v>
      </c>
      <c r="AE1016" t="str">
        <f t="shared" si="284"/>
        <v>01</v>
      </c>
      <c r="AF1016" t="s">
        <v>40</v>
      </c>
    </row>
    <row r="1017" spans="1:32" x14ac:dyDescent="0.25">
      <c r="A1017">
        <v>5</v>
      </c>
      <c r="B1017">
        <v>420</v>
      </c>
      <c r="C1017" t="str">
        <f>"51"</f>
        <v>51</v>
      </c>
      <c r="D1017">
        <v>6259</v>
      </c>
      <c r="E1017" t="str">
        <f>"55"</f>
        <v>55</v>
      </c>
      <c r="F1017" t="str">
        <f t="shared" si="290"/>
        <v>999</v>
      </c>
      <c r="G1017">
        <v>5</v>
      </c>
      <c r="H1017" t="str">
        <f t="shared" si="291"/>
        <v>99</v>
      </c>
      <c r="I1017" t="str">
        <f t="shared" si="279"/>
        <v>0</v>
      </c>
      <c r="J1017" t="str">
        <f t="shared" si="286"/>
        <v>00</v>
      </c>
      <c r="K1017">
        <v>20150130</v>
      </c>
      <c r="L1017" t="str">
        <f>"014754"</f>
        <v>014754</v>
      </c>
      <c r="M1017" t="str">
        <f>"00075"</f>
        <v>00075</v>
      </c>
      <c r="N1017" t="s">
        <v>649</v>
      </c>
      <c r="O1017">
        <v>80.930000000000007</v>
      </c>
      <c r="Q1017" t="s">
        <v>33</v>
      </c>
      <c r="R1017" t="s">
        <v>34</v>
      </c>
      <c r="S1017" t="s">
        <v>35</v>
      </c>
      <c r="T1017" t="s">
        <v>35</v>
      </c>
      <c r="U1017" t="s">
        <v>34</v>
      </c>
      <c r="V1017" t="str">
        <f>""</f>
        <v/>
      </c>
      <c r="W1017">
        <v>20150128</v>
      </c>
      <c r="X1017" t="s">
        <v>243</v>
      </c>
      <c r="Y1017" t="s">
        <v>244</v>
      </c>
      <c r="Z1017" t="s">
        <v>244</v>
      </c>
      <c r="AA1017">
        <v>0</v>
      </c>
      <c r="AB1017" t="s">
        <v>142</v>
      </c>
      <c r="AC1017" t="s">
        <v>143</v>
      </c>
      <c r="AD1017" t="s">
        <v>40</v>
      </c>
      <c r="AE1017" t="str">
        <f t="shared" si="284"/>
        <v>01</v>
      </c>
      <c r="AF1017" t="s">
        <v>40</v>
      </c>
    </row>
    <row r="1018" spans="1:32" x14ac:dyDescent="0.25">
      <c r="A1018">
        <v>5</v>
      </c>
      <c r="B1018">
        <v>211</v>
      </c>
      <c r="C1018" t="str">
        <f>"11"</f>
        <v>11</v>
      </c>
      <c r="D1018">
        <v>6399</v>
      </c>
      <c r="E1018" t="str">
        <f t="shared" ref="E1018:E1027" si="292">"00"</f>
        <v>00</v>
      </c>
      <c r="F1018" t="str">
        <f>"101"</f>
        <v>101</v>
      </c>
      <c r="G1018">
        <v>5</v>
      </c>
      <c r="H1018" t="str">
        <f>"30"</f>
        <v>30</v>
      </c>
      <c r="I1018" t="str">
        <f t="shared" si="279"/>
        <v>0</v>
      </c>
      <c r="J1018" t="str">
        <f>"28"</f>
        <v>28</v>
      </c>
      <c r="K1018">
        <v>20150130</v>
      </c>
      <c r="L1018" t="str">
        <f>"014755"</f>
        <v>014755</v>
      </c>
      <c r="M1018" t="str">
        <f>"00086"</f>
        <v>00086</v>
      </c>
      <c r="N1018" t="s">
        <v>689</v>
      </c>
      <c r="O1018" s="1">
        <v>2851.15</v>
      </c>
      <c r="Q1018" t="s">
        <v>33</v>
      </c>
      <c r="R1018" t="s">
        <v>34</v>
      </c>
      <c r="S1018" t="s">
        <v>35</v>
      </c>
      <c r="T1018" t="s">
        <v>35</v>
      </c>
      <c r="U1018" t="s">
        <v>34</v>
      </c>
      <c r="V1018" t="str">
        <f>""</f>
        <v/>
      </c>
      <c r="W1018">
        <v>20150129</v>
      </c>
      <c r="X1018" t="s">
        <v>690</v>
      </c>
      <c r="Y1018" t="s">
        <v>634</v>
      </c>
      <c r="Z1018" t="s">
        <v>634</v>
      </c>
      <c r="AA1018">
        <v>0</v>
      </c>
      <c r="AB1018" t="s">
        <v>174</v>
      </c>
      <c r="AC1018" t="s">
        <v>41</v>
      </c>
      <c r="AD1018" t="s">
        <v>40</v>
      </c>
      <c r="AE1018" t="str">
        <f t="shared" si="284"/>
        <v>01</v>
      </c>
      <c r="AF1018" t="s">
        <v>40</v>
      </c>
    </row>
    <row r="1019" spans="1:32" x14ac:dyDescent="0.25">
      <c r="A1019">
        <v>5</v>
      </c>
      <c r="B1019">
        <v>420</v>
      </c>
      <c r="C1019" t="str">
        <f>"11"</f>
        <v>11</v>
      </c>
      <c r="D1019">
        <v>6399</v>
      </c>
      <c r="E1019" t="str">
        <f t="shared" si="292"/>
        <v>00</v>
      </c>
      <c r="F1019" t="str">
        <f>"041"</f>
        <v>041</v>
      </c>
      <c r="G1019">
        <v>5</v>
      </c>
      <c r="H1019" t="str">
        <f>"11"</f>
        <v>11</v>
      </c>
      <c r="I1019" t="str">
        <f t="shared" si="279"/>
        <v>0</v>
      </c>
      <c r="J1019" t="str">
        <f t="shared" ref="J1019:J1082" si="293">"00"</f>
        <v>00</v>
      </c>
      <c r="K1019">
        <v>20150130</v>
      </c>
      <c r="L1019" t="str">
        <f>"014755"</f>
        <v>014755</v>
      </c>
      <c r="M1019" t="str">
        <f>"00086"</f>
        <v>00086</v>
      </c>
      <c r="N1019" t="s">
        <v>689</v>
      </c>
      <c r="O1019" s="1">
        <v>2804.81</v>
      </c>
      <c r="Q1019" t="s">
        <v>33</v>
      </c>
      <c r="R1019" t="s">
        <v>34</v>
      </c>
      <c r="S1019" t="s">
        <v>35</v>
      </c>
      <c r="T1019" t="s">
        <v>35</v>
      </c>
      <c r="U1019" t="s">
        <v>34</v>
      </c>
      <c r="V1019" t="str">
        <f>""</f>
        <v/>
      </c>
      <c r="W1019">
        <v>20150129</v>
      </c>
      <c r="X1019" t="s">
        <v>241</v>
      </c>
      <c r="Y1019" t="s">
        <v>634</v>
      </c>
      <c r="Z1019" t="s">
        <v>634</v>
      </c>
      <c r="AA1019">
        <v>0</v>
      </c>
      <c r="AB1019" t="s">
        <v>142</v>
      </c>
      <c r="AC1019" t="s">
        <v>41</v>
      </c>
      <c r="AD1019" t="s">
        <v>40</v>
      </c>
      <c r="AE1019" t="str">
        <f t="shared" si="284"/>
        <v>01</v>
      </c>
      <c r="AF1019" t="s">
        <v>40</v>
      </c>
    </row>
    <row r="1020" spans="1:32" x14ac:dyDescent="0.25">
      <c r="A1020">
        <v>5</v>
      </c>
      <c r="B1020">
        <v>420</v>
      </c>
      <c r="C1020" t="str">
        <f>"51"</f>
        <v>51</v>
      </c>
      <c r="D1020">
        <v>6219</v>
      </c>
      <c r="E1020" t="str">
        <f t="shared" si="292"/>
        <v>00</v>
      </c>
      <c r="F1020" t="str">
        <f>"999"</f>
        <v>999</v>
      </c>
      <c r="G1020">
        <v>5</v>
      </c>
      <c r="H1020" t="str">
        <f>"99"</f>
        <v>99</v>
      </c>
      <c r="I1020" t="str">
        <f t="shared" si="279"/>
        <v>0</v>
      </c>
      <c r="J1020" t="str">
        <f t="shared" si="293"/>
        <v>00</v>
      </c>
      <c r="K1020">
        <v>20150130</v>
      </c>
      <c r="L1020" t="str">
        <f>"014756"</f>
        <v>014756</v>
      </c>
      <c r="M1020" t="str">
        <f>"00102"</f>
        <v>00102</v>
      </c>
      <c r="N1020" t="s">
        <v>367</v>
      </c>
      <c r="O1020">
        <v>145</v>
      </c>
      <c r="Q1020" t="s">
        <v>33</v>
      </c>
      <c r="R1020" t="s">
        <v>34</v>
      </c>
      <c r="S1020" t="s">
        <v>35</v>
      </c>
      <c r="T1020" t="s">
        <v>35</v>
      </c>
      <c r="U1020" t="s">
        <v>34</v>
      </c>
      <c r="V1020" t="str">
        <f>""</f>
        <v/>
      </c>
      <c r="W1020">
        <v>20150129</v>
      </c>
      <c r="X1020" t="s">
        <v>183</v>
      </c>
      <c r="Y1020" t="s">
        <v>368</v>
      </c>
      <c r="Z1020" t="s">
        <v>368</v>
      </c>
      <c r="AA1020">
        <v>0</v>
      </c>
      <c r="AB1020" t="s">
        <v>142</v>
      </c>
      <c r="AC1020" t="s">
        <v>143</v>
      </c>
      <c r="AD1020" t="s">
        <v>40</v>
      </c>
      <c r="AE1020" t="str">
        <f t="shared" si="284"/>
        <v>01</v>
      </c>
      <c r="AF1020" t="s">
        <v>40</v>
      </c>
    </row>
    <row r="1021" spans="1:32" x14ac:dyDescent="0.25">
      <c r="A1021">
        <v>5</v>
      </c>
      <c r="B1021">
        <v>420</v>
      </c>
      <c r="C1021" t="str">
        <f>"51"</f>
        <v>51</v>
      </c>
      <c r="D1021">
        <v>6319</v>
      </c>
      <c r="E1021" t="str">
        <f t="shared" si="292"/>
        <v>00</v>
      </c>
      <c r="F1021" t="str">
        <f>"999"</f>
        <v>999</v>
      </c>
      <c r="G1021">
        <v>5</v>
      </c>
      <c r="H1021" t="str">
        <f>"99"</f>
        <v>99</v>
      </c>
      <c r="I1021" t="str">
        <f t="shared" si="279"/>
        <v>0</v>
      </c>
      <c r="J1021" t="str">
        <f t="shared" si="293"/>
        <v>00</v>
      </c>
      <c r="K1021">
        <v>20150130</v>
      </c>
      <c r="L1021" t="str">
        <f>"014757"</f>
        <v>014757</v>
      </c>
      <c r="M1021" t="str">
        <f>"00671"</f>
        <v>00671</v>
      </c>
      <c r="N1021" t="s">
        <v>605</v>
      </c>
      <c r="O1021">
        <v>478.3</v>
      </c>
      <c r="Q1021" t="s">
        <v>33</v>
      </c>
      <c r="R1021" t="s">
        <v>34</v>
      </c>
      <c r="S1021" t="s">
        <v>35</v>
      </c>
      <c r="T1021" t="s">
        <v>35</v>
      </c>
      <c r="U1021" t="s">
        <v>34</v>
      </c>
      <c r="V1021" t="str">
        <f>""</f>
        <v/>
      </c>
      <c r="W1021">
        <v>20150129</v>
      </c>
      <c r="X1021" t="s">
        <v>185</v>
      </c>
      <c r="Y1021" t="s">
        <v>628</v>
      </c>
      <c r="Z1021" t="s">
        <v>628</v>
      </c>
      <c r="AA1021">
        <v>0</v>
      </c>
      <c r="AB1021" t="s">
        <v>142</v>
      </c>
      <c r="AC1021" t="s">
        <v>143</v>
      </c>
      <c r="AD1021" t="s">
        <v>40</v>
      </c>
      <c r="AE1021" t="str">
        <f t="shared" si="284"/>
        <v>01</v>
      </c>
      <c r="AF1021" t="s">
        <v>40</v>
      </c>
    </row>
    <row r="1022" spans="1:32" x14ac:dyDescent="0.25">
      <c r="A1022">
        <v>5</v>
      </c>
      <c r="B1022">
        <v>420</v>
      </c>
      <c r="C1022" t="str">
        <f>"51"</f>
        <v>51</v>
      </c>
      <c r="D1022">
        <v>6319</v>
      </c>
      <c r="E1022" t="str">
        <f t="shared" si="292"/>
        <v>00</v>
      </c>
      <c r="F1022" t="str">
        <f>"999"</f>
        <v>999</v>
      </c>
      <c r="G1022">
        <v>5</v>
      </c>
      <c r="H1022" t="str">
        <f>"99"</f>
        <v>99</v>
      </c>
      <c r="I1022" t="str">
        <f t="shared" si="279"/>
        <v>0</v>
      </c>
      <c r="J1022" t="str">
        <f t="shared" si="293"/>
        <v>00</v>
      </c>
      <c r="K1022">
        <v>20150130</v>
      </c>
      <c r="L1022" t="str">
        <f>"014757"</f>
        <v>014757</v>
      </c>
      <c r="M1022" t="str">
        <f>"00671"</f>
        <v>00671</v>
      </c>
      <c r="N1022" t="s">
        <v>605</v>
      </c>
      <c r="O1022">
        <v>4.24</v>
      </c>
      <c r="Q1022" t="s">
        <v>33</v>
      </c>
      <c r="R1022" t="s">
        <v>34</v>
      </c>
      <c r="S1022" t="s">
        <v>35</v>
      </c>
      <c r="T1022" t="s">
        <v>35</v>
      </c>
      <c r="U1022" t="s">
        <v>34</v>
      </c>
      <c r="V1022" t="str">
        <f>""</f>
        <v/>
      </c>
      <c r="W1022">
        <v>20150129</v>
      </c>
      <c r="X1022" t="s">
        <v>185</v>
      </c>
      <c r="Y1022" t="s">
        <v>628</v>
      </c>
      <c r="Z1022" t="s">
        <v>628</v>
      </c>
      <c r="AA1022">
        <v>0</v>
      </c>
      <c r="AB1022" t="s">
        <v>142</v>
      </c>
      <c r="AC1022" t="s">
        <v>143</v>
      </c>
      <c r="AD1022" t="s">
        <v>40</v>
      </c>
      <c r="AE1022" t="str">
        <f t="shared" si="284"/>
        <v>01</v>
      </c>
      <c r="AF1022" t="s">
        <v>40</v>
      </c>
    </row>
    <row r="1023" spans="1:32" x14ac:dyDescent="0.25">
      <c r="A1023">
        <v>5</v>
      </c>
      <c r="B1023">
        <v>420</v>
      </c>
      <c r="C1023" t="str">
        <f>"51"</f>
        <v>51</v>
      </c>
      <c r="D1023">
        <v>6319</v>
      </c>
      <c r="E1023" t="str">
        <f t="shared" si="292"/>
        <v>00</v>
      </c>
      <c r="F1023" t="str">
        <f>"999"</f>
        <v>999</v>
      </c>
      <c r="G1023">
        <v>5</v>
      </c>
      <c r="H1023" t="str">
        <f>"99"</f>
        <v>99</v>
      </c>
      <c r="I1023" t="str">
        <f t="shared" si="279"/>
        <v>0</v>
      </c>
      <c r="J1023" t="str">
        <f t="shared" si="293"/>
        <v>00</v>
      </c>
      <c r="K1023">
        <v>20150130</v>
      </c>
      <c r="L1023" t="str">
        <f>"014757"</f>
        <v>014757</v>
      </c>
      <c r="M1023" t="str">
        <f>"00671"</f>
        <v>00671</v>
      </c>
      <c r="N1023" t="s">
        <v>605</v>
      </c>
      <c r="O1023">
        <v>34.68</v>
      </c>
      <c r="Q1023" t="s">
        <v>33</v>
      </c>
      <c r="R1023" t="s">
        <v>34</v>
      </c>
      <c r="S1023" t="s">
        <v>35</v>
      </c>
      <c r="T1023" t="s">
        <v>35</v>
      </c>
      <c r="U1023" t="s">
        <v>34</v>
      </c>
      <c r="V1023" t="str">
        <f>""</f>
        <v/>
      </c>
      <c r="W1023">
        <v>20150129</v>
      </c>
      <c r="X1023" t="s">
        <v>185</v>
      </c>
      <c r="Y1023" t="s">
        <v>628</v>
      </c>
      <c r="Z1023" t="s">
        <v>628</v>
      </c>
      <c r="AA1023">
        <v>0</v>
      </c>
      <c r="AB1023" t="s">
        <v>142</v>
      </c>
      <c r="AC1023" t="s">
        <v>143</v>
      </c>
      <c r="AD1023" t="s">
        <v>40</v>
      </c>
      <c r="AE1023" t="str">
        <f t="shared" si="284"/>
        <v>01</v>
      </c>
      <c r="AF1023" t="s">
        <v>40</v>
      </c>
    </row>
    <row r="1024" spans="1:32" x14ac:dyDescent="0.25">
      <c r="A1024">
        <v>5</v>
      </c>
      <c r="B1024">
        <v>420</v>
      </c>
      <c r="C1024" t="str">
        <f>"51"</f>
        <v>51</v>
      </c>
      <c r="D1024">
        <v>6319</v>
      </c>
      <c r="E1024" t="str">
        <f t="shared" si="292"/>
        <v>00</v>
      </c>
      <c r="F1024" t="str">
        <f>"999"</f>
        <v>999</v>
      </c>
      <c r="G1024">
        <v>5</v>
      </c>
      <c r="H1024" t="str">
        <f>"99"</f>
        <v>99</v>
      </c>
      <c r="I1024" t="str">
        <f t="shared" si="279"/>
        <v>0</v>
      </c>
      <c r="J1024" t="str">
        <f t="shared" si="293"/>
        <v>00</v>
      </c>
      <c r="K1024">
        <v>20150130</v>
      </c>
      <c r="L1024" t="str">
        <f>"014757"</f>
        <v>014757</v>
      </c>
      <c r="M1024" t="str">
        <f>"00671"</f>
        <v>00671</v>
      </c>
      <c r="N1024" t="s">
        <v>605</v>
      </c>
      <c r="O1024">
        <v>134.06</v>
      </c>
      <c r="Q1024" t="s">
        <v>33</v>
      </c>
      <c r="R1024" t="s">
        <v>34</v>
      </c>
      <c r="S1024" t="s">
        <v>35</v>
      </c>
      <c r="T1024" t="s">
        <v>35</v>
      </c>
      <c r="U1024" t="s">
        <v>34</v>
      </c>
      <c r="V1024" t="str">
        <f>""</f>
        <v/>
      </c>
      <c r="W1024">
        <v>20150129</v>
      </c>
      <c r="X1024" t="s">
        <v>185</v>
      </c>
      <c r="Y1024" t="s">
        <v>628</v>
      </c>
      <c r="Z1024" t="s">
        <v>628</v>
      </c>
      <c r="AA1024">
        <v>0</v>
      </c>
      <c r="AB1024" t="s">
        <v>142</v>
      </c>
      <c r="AC1024" t="s">
        <v>143</v>
      </c>
      <c r="AD1024" t="s">
        <v>40</v>
      </c>
      <c r="AE1024" t="str">
        <f t="shared" si="284"/>
        <v>01</v>
      </c>
      <c r="AF1024" t="s">
        <v>40</v>
      </c>
    </row>
    <row r="1025" spans="1:32" x14ac:dyDescent="0.25">
      <c r="A1025">
        <v>5</v>
      </c>
      <c r="B1025">
        <v>420</v>
      </c>
      <c r="C1025" t="str">
        <f>"36"</f>
        <v>36</v>
      </c>
      <c r="D1025">
        <v>6499</v>
      </c>
      <c r="E1025" t="str">
        <f t="shared" si="292"/>
        <v>00</v>
      </c>
      <c r="F1025" t="str">
        <f>"001"</f>
        <v>001</v>
      </c>
      <c r="G1025">
        <v>5</v>
      </c>
      <c r="H1025" t="str">
        <f>"91"</f>
        <v>91</v>
      </c>
      <c r="I1025" t="str">
        <f t="shared" si="279"/>
        <v>0</v>
      </c>
      <c r="J1025" t="str">
        <f t="shared" si="293"/>
        <v>00</v>
      </c>
      <c r="K1025">
        <v>20150130</v>
      </c>
      <c r="L1025" t="str">
        <f>"014758"</f>
        <v>014758</v>
      </c>
      <c r="M1025" t="str">
        <f>"00820"</f>
        <v>00820</v>
      </c>
      <c r="N1025" t="s">
        <v>691</v>
      </c>
      <c r="O1025">
        <v>200</v>
      </c>
      <c r="Q1025" t="s">
        <v>33</v>
      </c>
      <c r="R1025" t="s">
        <v>34</v>
      </c>
      <c r="S1025" t="s">
        <v>35</v>
      </c>
      <c r="T1025" t="s">
        <v>35</v>
      </c>
      <c r="U1025" t="s">
        <v>34</v>
      </c>
      <c r="V1025" t="str">
        <f>""</f>
        <v/>
      </c>
      <c r="W1025">
        <v>20150128</v>
      </c>
      <c r="X1025" t="s">
        <v>275</v>
      </c>
      <c r="Y1025" t="s">
        <v>692</v>
      </c>
      <c r="Z1025" t="s">
        <v>692</v>
      </c>
      <c r="AA1025">
        <v>0</v>
      </c>
      <c r="AB1025" t="s">
        <v>142</v>
      </c>
      <c r="AC1025" t="s">
        <v>41</v>
      </c>
      <c r="AD1025" t="s">
        <v>40</v>
      </c>
      <c r="AE1025" t="str">
        <f t="shared" si="284"/>
        <v>01</v>
      </c>
      <c r="AF1025" t="s">
        <v>40</v>
      </c>
    </row>
    <row r="1026" spans="1:32" x14ac:dyDescent="0.25">
      <c r="A1026">
        <v>5</v>
      </c>
      <c r="B1026">
        <v>211</v>
      </c>
      <c r="C1026" t="str">
        <f>"11"</f>
        <v>11</v>
      </c>
      <c r="D1026">
        <v>6399</v>
      </c>
      <c r="E1026" t="str">
        <f t="shared" si="292"/>
        <v>00</v>
      </c>
      <c r="F1026" t="str">
        <f>"101"</f>
        <v>101</v>
      </c>
      <c r="G1026">
        <v>5</v>
      </c>
      <c r="H1026" t="str">
        <f>"30"</f>
        <v>30</v>
      </c>
      <c r="I1026" t="str">
        <f t="shared" ref="I1026:I1089" si="294">"0"</f>
        <v>0</v>
      </c>
      <c r="J1026" t="str">
        <f t="shared" si="293"/>
        <v>00</v>
      </c>
      <c r="K1026">
        <v>20150130</v>
      </c>
      <c r="L1026" t="str">
        <f>"014759"</f>
        <v>014759</v>
      </c>
      <c r="M1026" t="str">
        <f>"00641"</f>
        <v>00641</v>
      </c>
      <c r="N1026" t="s">
        <v>693</v>
      </c>
      <c r="O1026">
        <v>579.15</v>
      </c>
      <c r="Q1026" t="s">
        <v>33</v>
      </c>
      <c r="R1026" t="s">
        <v>34</v>
      </c>
      <c r="S1026" t="s">
        <v>35</v>
      </c>
      <c r="T1026" t="s">
        <v>35</v>
      </c>
      <c r="U1026" t="s">
        <v>34</v>
      </c>
      <c r="V1026" t="str">
        <f>""</f>
        <v/>
      </c>
      <c r="W1026">
        <v>20150129</v>
      </c>
      <c r="X1026" t="s">
        <v>422</v>
      </c>
      <c r="Y1026" t="s">
        <v>634</v>
      </c>
      <c r="Z1026" t="s">
        <v>634</v>
      </c>
      <c r="AA1026">
        <v>0</v>
      </c>
      <c r="AB1026" t="s">
        <v>174</v>
      </c>
      <c r="AC1026" t="s">
        <v>41</v>
      </c>
      <c r="AD1026" t="s">
        <v>40</v>
      </c>
      <c r="AE1026" t="str">
        <f t="shared" si="284"/>
        <v>01</v>
      </c>
      <c r="AF1026" t="s">
        <v>40</v>
      </c>
    </row>
    <row r="1027" spans="1:32" x14ac:dyDescent="0.25">
      <c r="A1027">
        <v>5</v>
      </c>
      <c r="B1027">
        <v>420</v>
      </c>
      <c r="C1027" t="str">
        <f>"11"</f>
        <v>11</v>
      </c>
      <c r="D1027">
        <v>6269</v>
      </c>
      <c r="E1027" t="str">
        <f t="shared" si="292"/>
        <v>00</v>
      </c>
      <c r="F1027" t="str">
        <f t="shared" ref="F1027:F1032" si="295">"999"</f>
        <v>999</v>
      </c>
      <c r="G1027">
        <v>5</v>
      </c>
      <c r="H1027" t="str">
        <f>"11"</f>
        <v>11</v>
      </c>
      <c r="I1027" t="str">
        <f t="shared" si="294"/>
        <v>0</v>
      </c>
      <c r="J1027" t="str">
        <f t="shared" si="293"/>
        <v>00</v>
      </c>
      <c r="K1027">
        <v>20150130</v>
      </c>
      <c r="L1027" t="str">
        <f>"014760"</f>
        <v>014760</v>
      </c>
      <c r="M1027" t="str">
        <f>"00622"</f>
        <v>00622</v>
      </c>
      <c r="N1027" t="s">
        <v>318</v>
      </c>
      <c r="O1027">
        <v>430.37</v>
      </c>
      <c r="Q1027" t="s">
        <v>33</v>
      </c>
      <c r="R1027" t="s">
        <v>34</v>
      </c>
      <c r="S1027" t="s">
        <v>35</v>
      </c>
      <c r="T1027" t="s">
        <v>35</v>
      </c>
      <c r="U1027" t="s">
        <v>34</v>
      </c>
      <c r="V1027" t="str">
        <f>""</f>
        <v/>
      </c>
      <c r="W1027">
        <v>20150128</v>
      </c>
      <c r="X1027" t="s">
        <v>213</v>
      </c>
      <c r="Y1027" t="s">
        <v>231</v>
      </c>
      <c r="Z1027" t="s">
        <v>231</v>
      </c>
      <c r="AA1027">
        <v>0</v>
      </c>
      <c r="AB1027" t="s">
        <v>142</v>
      </c>
      <c r="AC1027" t="s">
        <v>143</v>
      </c>
      <c r="AD1027" t="s">
        <v>40</v>
      </c>
      <c r="AE1027" t="str">
        <f t="shared" si="284"/>
        <v>01</v>
      </c>
      <c r="AF1027" t="s">
        <v>40</v>
      </c>
    </row>
    <row r="1028" spans="1:32" x14ac:dyDescent="0.25">
      <c r="A1028">
        <v>5</v>
      </c>
      <c r="B1028">
        <v>420</v>
      </c>
      <c r="C1028" t="str">
        <f>"51"</f>
        <v>51</v>
      </c>
      <c r="D1028">
        <v>6259</v>
      </c>
      <c r="E1028" t="str">
        <f>"53"</f>
        <v>53</v>
      </c>
      <c r="F1028" t="str">
        <f t="shared" si="295"/>
        <v>999</v>
      </c>
      <c r="G1028">
        <v>5</v>
      </c>
      <c r="H1028" t="str">
        <f>"99"</f>
        <v>99</v>
      </c>
      <c r="I1028" t="str">
        <f t="shared" si="294"/>
        <v>0</v>
      </c>
      <c r="J1028" t="str">
        <f t="shared" si="293"/>
        <v>00</v>
      </c>
      <c r="K1028">
        <v>20150130</v>
      </c>
      <c r="L1028" t="str">
        <f>"014761"</f>
        <v>014761</v>
      </c>
      <c r="M1028" t="str">
        <f>"00726"</f>
        <v>00726</v>
      </c>
      <c r="N1028" t="s">
        <v>227</v>
      </c>
      <c r="O1028" s="1">
        <v>1215.67</v>
      </c>
      <c r="Q1028" t="s">
        <v>33</v>
      </c>
      <c r="R1028" t="s">
        <v>34</v>
      </c>
      <c r="S1028" t="s">
        <v>35</v>
      </c>
      <c r="T1028" t="s">
        <v>35</v>
      </c>
      <c r="U1028" t="s">
        <v>34</v>
      </c>
      <c r="V1028" t="str">
        <f>""</f>
        <v/>
      </c>
      <c r="W1028">
        <v>20150129</v>
      </c>
      <c r="X1028" t="s">
        <v>228</v>
      </c>
      <c r="Y1028" t="s">
        <v>542</v>
      </c>
      <c r="Z1028" t="s">
        <v>542</v>
      </c>
      <c r="AA1028">
        <v>0</v>
      </c>
      <c r="AB1028" t="s">
        <v>142</v>
      </c>
      <c r="AC1028" t="s">
        <v>143</v>
      </c>
      <c r="AD1028" t="s">
        <v>40</v>
      </c>
      <c r="AE1028" t="str">
        <f t="shared" si="284"/>
        <v>01</v>
      </c>
      <c r="AF1028" t="s">
        <v>40</v>
      </c>
    </row>
    <row r="1029" spans="1:32" x14ac:dyDescent="0.25">
      <c r="A1029">
        <v>5</v>
      </c>
      <c r="B1029">
        <v>420</v>
      </c>
      <c r="C1029" t="str">
        <f>"51"</f>
        <v>51</v>
      </c>
      <c r="D1029">
        <v>6259</v>
      </c>
      <c r="E1029" t="str">
        <f>"53"</f>
        <v>53</v>
      </c>
      <c r="F1029" t="str">
        <f t="shared" si="295"/>
        <v>999</v>
      </c>
      <c r="G1029">
        <v>5</v>
      </c>
      <c r="H1029" t="str">
        <f>"99"</f>
        <v>99</v>
      </c>
      <c r="I1029" t="str">
        <f t="shared" si="294"/>
        <v>0</v>
      </c>
      <c r="J1029" t="str">
        <f t="shared" si="293"/>
        <v>00</v>
      </c>
      <c r="K1029">
        <v>20150130</v>
      </c>
      <c r="L1029" t="str">
        <f>"014761"</f>
        <v>014761</v>
      </c>
      <c r="M1029" t="str">
        <f>"00726"</f>
        <v>00726</v>
      </c>
      <c r="N1029" t="s">
        <v>227</v>
      </c>
      <c r="O1029" s="1">
        <v>1779.77</v>
      </c>
      <c r="Q1029" t="s">
        <v>33</v>
      </c>
      <c r="R1029" t="s">
        <v>34</v>
      </c>
      <c r="S1029" t="s">
        <v>35</v>
      </c>
      <c r="T1029" t="s">
        <v>35</v>
      </c>
      <c r="U1029" t="s">
        <v>34</v>
      </c>
      <c r="V1029" t="str">
        <f>""</f>
        <v/>
      </c>
      <c r="W1029">
        <v>20150129</v>
      </c>
      <c r="X1029" t="s">
        <v>228</v>
      </c>
      <c r="Y1029" t="s">
        <v>542</v>
      </c>
      <c r="Z1029" t="s">
        <v>542</v>
      </c>
      <c r="AA1029">
        <v>0</v>
      </c>
      <c r="AB1029" t="s">
        <v>142</v>
      </c>
      <c r="AC1029" t="s">
        <v>143</v>
      </c>
      <c r="AD1029" t="s">
        <v>40</v>
      </c>
      <c r="AE1029" t="str">
        <f t="shared" si="284"/>
        <v>01</v>
      </c>
      <c r="AF1029" t="s">
        <v>40</v>
      </c>
    </row>
    <row r="1030" spans="1:32" x14ac:dyDescent="0.25">
      <c r="A1030">
        <v>5</v>
      </c>
      <c r="B1030">
        <v>420</v>
      </c>
      <c r="C1030" t="str">
        <f>"51"</f>
        <v>51</v>
      </c>
      <c r="D1030">
        <v>6259</v>
      </c>
      <c r="E1030" t="str">
        <f>"53"</f>
        <v>53</v>
      </c>
      <c r="F1030" t="str">
        <f t="shared" si="295"/>
        <v>999</v>
      </c>
      <c r="G1030">
        <v>5</v>
      </c>
      <c r="H1030" t="str">
        <f>"99"</f>
        <v>99</v>
      </c>
      <c r="I1030" t="str">
        <f t="shared" si="294"/>
        <v>0</v>
      </c>
      <c r="J1030" t="str">
        <f t="shared" si="293"/>
        <v>00</v>
      </c>
      <c r="K1030">
        <v>20150130</v>
      </c>
      <c r="L1030" t="str">
        <f>"014761"</f>
        <v>014761</v>
      </c>
      <c r="M1030" t="str">
        <f>"00726"</f>
        <v>00726</v>
      </c>
      <c r="N1030" t="s">
        <v>227</v>
      </c>
      <c r="O1030" s="1">
        <v>1932.84</v>
      </c>
      <c r="Q1030" t="s">
        <v>33</v>
      </c>
      <c r="R1030" t="s">
        <v>34</v>
      </c>
      <c r="S1030" t="s">
        <v>35</v>
      </c>
      <c r="T1030" t="s">
        <v>35</v>
      </c>
      <c r="U1030" t="s">
        <v>34</v>
      </c>
      <c r="V1030" t="str">
        <f>""</f>
        <v/>
      </c>
      <c r="W1030">
        <v>20150129</v>
      </c>
      <c r="X1030" t="s">
        <v>228</v>
      </c>
      <c r="Y1030" t="s">
        <v>542</v>
      </c>
      <c r="Z1030" t="s">
        <v>542</v>
      </c>
      <c r="AA1030">
        <v>0</v>
      </c>
      <c r="AB1030" t="s">
        <v>142</v>
      </c>
      <c r="AC1030" t="s">
        <v>143</v>
      </c>
      <c r="AD1030" t="s">
        <v>40</v>
      </c>
      <c r="AE1030" t="str">
        <f t="shared" si="284"/>
        <v>01</v>
      </c>
      <c r="AF1030" t="s">
        <v>40</v>
      </c>
    </row>
    <row r="1031" spans="1:32" x14ac:dyDescent="0.25">
      <c r="A1031">
        <v>5</v>
      </c>
      <c r="B1031">
        <v>420</v>
      </c>
      <c r="C1031" t="str">
        <f>"51"</f>
        <v>51</v>
      </c>
      <c r="D1031">
        <v>6259</v>
      </c>
      <c r="E1031" t="str">
        <f>"53"</f>
        <v>53</v>
      </c>
      <c r="F1031" t="str">
        <f t="shared" si="295"/>
        <v>999</v>
      </c>
      <c r="G1031">
        <v>5</v>
      </c>
      <c r="H1031" t="str">
        <f>"99"</f>
        <v>99</v>
      </c>
      <c r="I1031" t="str">
        <f t="shared" si="294"/>
        <v>0</v>
      </c>
      <c r="J1031" t="str">
        <f t="shared" si="293"/>
        <v>00</v>
      </c>
      <c r="K1031">
        <v>20150130</v>
      </c>
      <c r="L1031" t="str">
        <f>"014761"</f>
        <v>014761</v>
      </c>
      <c r="M1031" t="str">
        <f>"00726"</f>
        <v>00726</v>
      </c>
      <c r="N1031" t="s">
        <v>227</v>
      </c>
      <c r="O1031" s="1">
        <v>3093.89</v>
      </c>
      <c r="Q1031" t="s">
        <v>33</v>
      </c>
      <c r="R1031" t="s">
        <v>34</v>
      </c>
      <c r="S1031" t="s">
        <v>35</v>
      </c>
      <c r="T1031" t="s">
        <v>35</v>
      </c>
      <c r="U1031" t="s">
        <v>34</v>
      </c>
      <c r="V1031" t="str">
        <f>""</f>
        <v/>
      </c>
      <c r="W1031">
        <v>20150130</v>
      </c>
      <c r="X1031" t="s">
        <v>228</v>
      </c>
      <c r="Y1031" t="s">
        <v>542</v>
      </c>
      <c r="Z1031" t="s">
        <v>542</v>
      </c>
      <c r="AA1031">
        <v>0</v>
      </c>
      <c r="AB1031" t="s">
        <v>142</v>
      </c>
      <c r="AC1031" t="s">
        <v>143</v>
      </c>
      <c r="AD1031" t="s">
        <v>40</v>
      </c>
      <c r="AE1031" t="str">
        <f t="shared" si="284"/>
        <v>01</v>
      </c>
      <c r="AF1031" t="s">
        <v>40</v>
      </c>
    </row>
    <row r="1032" spans="1:32" x14ac:dyDescent="0.25">
      <c r="A1032">
        <v>5</v>
      </c>
      <c r="B1032">
        <v>420</v>
      </c>
      <c r="C1032" t="str">
        <f t="shared" ref="C1032:C1038" si="296">"11"</f>
        <v>11</v>
      </c>
      <c r="D1032">
        <v>6269</v>
      </c>
      <c r="E1032" t="str">
        <f t="shared" ref="E1032:E1060" si="297">"00"</f>
        <v>00</v>
      </c>
      <c r="F1032" t="str">
        <f t="shared" si="295"/>
        <v>999</v>
      </c>
      <c r="G1032">
        <v>5</v>
      </c>
      <c r="H1032" t="str">
        <f>"11"</f>
        <v>11</v>
      </c>
      <c r="I1032" t="str">
        <f t="shared" si="294"/>
        <v>0</v>
      </c>
      <c r="J1032" t="str">
        <f t="shared" si="293"/>
        <v>00</v>
      </c>
      <c r="K1032">
        <v>20150130</v>
      </c>
      <c r="L1032" t="str">
        <f>"014762"</f>
        <v>014762</v>
      </c>
      <c r="M1032" t="str">
        <f>"00218"</f>
        <v>00218</v>
      </c>
      <c r="N1032" t="s">
        <v>694</v>
      </c>
      <c r="O1032">
        <v>10.68</v>
      </c>
      <c r="Q1032" t="s">
        <v>33</v>
      </c>
      <c r="R1032" t="s">
        <v>34</v>
      </c>
      <c r="S1032" t="s">
        <v>35</v>
      </c>
      <c r="T1032" t="s">
        <v>35</v>
      </c>
      <c r="U1032" t="s">
        <v>34</v>
      </c>
      <c r="V1032" t="str">
        <f>""</f>
        <v/>
      </c>
      <c r="W1032">
        <v>20150128</v>
      </c>
      <c r="X1032" t="s">
        <v>213</v>
      </c>
      <c r="Y1032" t="s">
        <v>695</v>
      </c>
      <c r="Z1032" t="s">
        <v>695</v>
      </c>
      <c r="AA1032">
        <v>0</v>
      </c>
      <c r="AB1032" t="s">
        <v>142</v>
      </c>
      <c r="AC1032" t="s">
        <v>143</v>
      </c>
      <c r="AD1032" t="s">
        <v>40</v>
      </c>
      <c r="AE1032" t="str">
        <f t="shared" si="284"/>
        <v>01</v>
      </c>
      <c r="AF1032" t="s">
        <v>40</v>
      </c>
    </row>
    <row r="1033" spans="1:32" x14ac:dyDescent="0.25">
      <c r="A1033">
        <v>5</v>
      </c>
      <c r="B1033">
        <v>420</v>
      </c>
      <c r="C1033" t="str">
        <f t="shared" si="296"/>
        <v>11</v>
      </c>
      <c r="D1033">
        <v>6219</v>
      </c>
      <c r="E1033" t="str">
        <f t="shared" si="297"/>
        <v>00</v>
      </c>
      <c r="F1033" t="str">
        <f>"001"</f>
        <v>001</v>
      </c>
      <c r="G1033">
        <v>5</v>
      </c>
      <c r="H1033" t="str">
        <f>"11"</f>
        <v>11</v>
      </c>
      <c r="I1033" t="str">
        <f t="shared" si="294"/>
        <v>0</v>
      </c>
      <c r="J1033" t="str">
        <f t="shared" si="293"/>
        <v>00</v>
      </c>
      <c r="K1033">
        <v>20150130</v>
      </c>
      <c r="L1033" t="str">
        <f>"014763"</f>
        <v>014763</v>
      </c>
      <c r="M1033" t="str">
        <f>"00503"</f>
        <v>00503</v>
      </c>
      <c r="N1033" t="s">
        <v>137</v>
      </c>
      <c r="O1033">
        <v>30</v>
      </c>
      <c r="Q1033" t="s">
        <v>33</v>
      </c>
      <c r="R1033" t="s">
        <v>34</v>
      </c>
      <c r="S1033" t="s">
        <v>35</v>
      </c>
      <c r="T1033" t="s">
        <v>35</v>
      </c>
      <c r="U1033" t="s">
        <v>34</v>
      </c>
      <c r="V1033" t="str">
        <f>""</f>
        <v/>
      </c>
      <c r="W1033">
        <v>20150128</v>
      </c>
      <c r="X1033" t="s">
        <v>165</v>
      </c>
      <c r="Y1033" t="s">
        <v>696</v>
      </c>
      <c r="Z1033" t="s">
        <v>696</v>
      </c>
      <c r="AA1033">
        <v>0</v>
      </c>
      <c r="AB1033" t="s">
        <v>142</v>
      </c>
      <c r="AC1033" t="s">
        <v>41</v>
      </c>
      <c r="AD1033" t="s">
        <v>40</v>
      </c>
      <c r="AE1033" t="str">
        <f t="shared" si="284"/>
        <v>01</v>
      </c>
      <c r="AF1033" t="s">
        <v>40</v>
      </c>
    </row>
    <row r="1034" spans="1:32" x14ac:dyDescent="0.25">
      <c r="A1034">
        <v>5</v>
      </c>
      <c r="B1034">
        <v>211</v>
      </c>
      <c r="C1034" t="str">
        <f t="shared" si="296"/>
        <v>11</v>
      </c>
      <c r="D1034">
        <v>6399</v>
      </c>
      <c r="E1034" t="str">
        <f t="shared" si="297"/>
        <v>00</v>
      </c>
      <c r="F1034" t="str">
        <f>"041"</f>
        <v>041</v>
      </c>
      <c r="G1034">
        <v>5</v>
      </c>
      <c r="H1034" t="str">
        <f>"30"</f>
        <v>30</v>
      </c>
      <c r="I1034" t="str">
        <f t="shared" si="294"/>
        <v>0</v>
      </c>
      <c r="J1034" t="str">
        <f t="shared" si="293"/>
        <v>00</v>
      </c>
      <c r="K1034">
        <v>20150130</v>
      </c>
      <c r="L1034" t="str">
        <f>"014764"</f>
        <v>014764</v>
      </c>
      <c r="M1034" t="str">
        <f>"00310"</f>
        <v>00310</v>
      </c>
      <c r="N1034" t="s">
        <v>589</v>
      </c>
      <c r="O1034">
        <v>319.92</v>
      </c>
      <c r="Q1034" t="s">
        <v>33</v>
      </c>
      <c r="R1034" t="s">
        <v>34</v>
      </c>
      <c r="S1034" t="s">
        <v>35</v>
      </c>
      <c r="T1034" t="s">
        <v>35</v>
      </c>
      <c r="U1034" t="s">
        <v>34</v>
      </c>
      <c r="V1034" t="str">
        <f>""</f>
        <v/>
      </c>
      <c r="W1034">
        <v>20150129</v>
      </c>
      <c r="X1034" t="s">
        <v>417</v>
      </c>
      <c r="Y1034" t="s">
        <v>418</v>
      </c>
      <c r="Z1034" t="s">
        <v>418</v>
      </c>
      <c r="AA1034">
        <v>0</v>
      </c>
      <c r="AB1034" t="s">
        <v>174</v>
      </c>
      <c r="AC1034" t="s">
        <v>41</v>
      </c>
      <c r="AD1034" t="s">
        <v>40</v>
      </c>
      <c r="AE1034" t="str">
        <f t="shared" si="284"/>
        <v>01</v>
      </c>
      <c r="AF1034" t="s">
        <v>40</v>
      </c>
    </row>
    <row r="1035" spans="1:32" x14ac:dyDescent="0.25">
      <c r="A1035">
        <v>5</v>
      </c>
      <c r="B1035">
        <v>211</v>
      </c>
      <c r="C1035" t="str">
        <f t="shared" si="296"/>
        <v>11</v>
      </c>
      <c r="D1035">
        <v>6399</v>
      </c>
      <c r="E1035" t="str">
        <f t="shared" si="297"/>
        <v>00</v>
      </c>
      <c r="F1035" t="str">
        <f>"101"</f>
        <v>101</v>
      </c>
      <c r="G1035">
        <v>5</v>
      </c>
      <c r="H1035" t="str">
        <f>"30"</f>
        <v>30</v>
      </c>
      <c r="I1035" t="str">
        <f t="shared" si="294"/>
        <v>0</v>
      </c>
      <c r="J1035" t="str">
        <f t="shared" si="293"/>
        <v>00</v>
      </c>
      <c r="K1035">
        <v>20150130</v>
      </c>
      <c r="L1035" t="str">
        <f>"014764"</f>
        <v>014764</v>
      </c>
      <c r="M1035" t="str">
        <f>"00310"</f>
        <v>00310</v>
      </c>
      <c r="N1035" t="s">
        <v>589</v>
      </c>
      <c r="O1035">
        <v>149.94</v>
      </c>
      <c r="Q1035" t="s">
        <v>33</v>
      </c>
      <c r="R1035" t="s">
        <v>34</v>
      </c>
      <c r="S1035" t="s">
        <v>35</v>
      </c>
      <c r="T1035" t="s">
        <v>35</v>
      </c>
      <c r="U1035" t="s">
        <v>34</v>
      </c>
      <c r="V1035" t="str">
        <f>""</f>
        <v/>
      </c>
      <c r="W1035">
        <v>20150129</v>
      </c>
      <c r="X1035" t="s">
        <v>422</v>
      </c>
      <c r="Y1035" t="s">
        <v>418</v>
      </c>
      <c r="Z1035" t="s">
        <v>418</v>
      </c>
      <c r="AA1035">
        <v>0</v>
      </c>
      <c r="AB1035" t="s">
        <v>174</v>
      </c>
      <c r="AC1035" t="s">
        <v>41</v>
      </c>
      <c r="AD1035" t="s">
        <v>40</v>
      </c>
      <c r="AE1035" t="str">
        <f t="shared" si="284"/>
        <v>01</v>
      </c>
      <c r="AF1035" t="s">
        <v>40</v>
      </c>
    </row>
    <row r="1036" spans="1:32" x14ac:dyDescent="0.25">
      <c r="A1036">
        <v>5</v>
      </c>
      <c r="B1036">
        <v>420</v>
      </c>
      <c r="C1036" t="str">
        <f t="shared" si="296"/>
        <v>11</v>
      </c>
      <c r="D1036">
        <v>6399</v>
      </c>
      <c r="E1036" t="str">
        <f t="shared" si="297"/>
        <v>00</v>
      </c>
      <c r="F1036" t="str">
        <f>"001"</f>
        <v>001</v>
      </c>
      <c r="G1036">
        <v>5</v>
      </c>
      <c r="H1036" t="str">
        <f>"11"</f>
        <v>11</v>
      </c>
      <c r="I1036" t="str">
        <f t="shared" si="294"/>
        <v>0</v>
      </c>
      <c r="J1036" t="str">
        <f t="shared" si="293"/>
        <v>00</v>
      </c>
      <c r="K1036">
        <v>20150130</v>
      </c>
      <c r="L1036" t="str">
        <f>"014764"</f>
        <v>014764</v>
      </c>
      <c r="M1036" t="str">
        <f>"00310"</f>
        <v>00310</v>
      </c>
      <c r="N1036" t="s">
        <v>589</v>
      </c>
      <c r="O1036">
        <v>55.79</v>
      </c>
      <c r="Q1036" t="s">
        <v>33</v>
      </c>
      <c r="R1036" t="s">
        <v>34</v>
      </c>
      <c r="S1036" t="s">
        <v>35</v>
      </c>
      <c r="T1036" t="s">
        <v>35</v>
      </c>
      <c r="U1036" t="s">
        <v>34</v>
      </c>
      <c r="V1036" t="str">
        <f>""</f>
        <v/>
      </c>
      <c r="W1036">
        <v>20150129</v>
      </c>
      <c r="X1036" t="s">
        <v>239</v>
      </c>
      <c r="Y1036" t="s">
        <v>418</v>
      </c>
      <c r="Z1036" t="s">
        <v>418</v>
      </c>
      <c r="AA1036">
        <v>0</v>
      </c>
      <c r="AB1036" t="s">
        <v>142</v>
      </c>
      <c r="AC1036" t="s">
        <v>41</v>
      </c>
      <c r="AD1036" t="s">
        <v>40</v>
      </c>
      <c r="AE1036" t="str">
        <f t="shared" si="284"/>
        <v>01</v>
      </c>
      <c r="AF1036" t="s">
        <v>40</v>
      </c>
    </row>
    <row r="1037" spans="1:32" x14ac:dyDescent="0.25">
      <c r="A1037">
        <v>5</v>
      </c>
      <c r="B1037">
        <v>420</v>
      </c>
      <c r="C1037" t="str">
        <f t="shared" si="296"/>
        <v>11</v>
      </c>
      <c r="D1037">
        <v>6399</v>
      </c>
      <c r="E1037" t="str">
        <f t="shared" si="297"/>
        <v>00</v>
      </c>
      <c r="F1037" t="str">
        <f>"041"</f>
        <v>041</v>
      </c>
      <c r="G1037">
        <v>5</v>
      </c>
      <c r="H1037" t="str">
        <f>"11"</f>
        <v>11</v>
      </c>
      <c r="I1037" t="str">
        <f t="shared" si="294"/>
        <v>0</v>
      </c>
      <c r="J1037" t="str">
        <f t="shared" si="293"/>
        <v>00</v>
      </c>
      <c r="K1037">
        <v>20150130</v>
      </c>
      <c r="L1037" t="str">
        <f>"014764"</f>
        <v>014764</v>
      </c>
      <c r="M1037" t="str">
        <f>"00310"</f>
        <v>00310</v>
      </c>
      <c r="N1037" t="s">
        <v>589</v>
      </c>
      <c r="O1037">
        <v>19.38</v>
      </c>
      <c r="Q1037" t="s">
        <v>33</v>
      </c>
      <c r="R1037" t="s">
        <v>34</v>
      </c>
      <c r="S1037" t="s">
        <v>35</v>
      </c>
      <c r="T1037" t="s">
        <v>35</v>
      </c>
      <c r="U1037" t="s">
        <v>34</v>
      </c>
      <c r="V1037" t="str">
        <f>""</f>
        <v/>
      </c>
      <c r="W1037">
        <v>20150129</v>
      </c>
      <c r="X1037" t="s">
        <v>241</v>
      </c>
      <c r="Y1037" t="s">
        <v>418</v>
      </c>
      <c r="Z1037" t="s">
        <v>418</v>
      </c>
      <c r="AA1037">
        <v>0</v>
      </c>
      <c r="AB1037" t="s">
        <v>142</v>
      </c>
      <c r="AC1037" t="s">
        <v>41</v>
      </c>
      <c r="AD1037" t="s">
        <v>40</v>
      </c>
      <c r="AE1037" t="str">
        <f t="shared" si="284"/>
        <v>01</v>
      </c>
      <c r="AF1037" t="s">
        <v>40</v>
      </c>
    </row>
    <row r="1038" spans="1:32" x14ac:dyDescent="0.25">
      <c r="A1038">
        <v>5</v>
      </c>
      <c r="B1038">
        <v>420</v>
      </c>
      <c r="C1038" t="str">
        <f t="shared" si="296"/>
        <v>11</v>
      </c>
      <c r="D1038">
        <v>6399</v>
      </c>
      <c r="E1038" t="str">
        <f t="shared" si="297"/>
        <v>00</v>
      </c>
      <c r="F1038" t="str">
        <f>"101"</f>
        <v>101</v>
      </c>
      <c r="G1038">
        <v>5</v>
      </c>
      <c r="H1038" t="str">
        <f>"11"</f>
        <v>11</v>
      </c>
      <c r="I1038" t="str">
        <f t="shared" si="294"/>
        <v>0</v>
      </c>
      <c r="J1038" t="str">
        <f t="shared" si="293"/>
        <v>00</v>
      </c>
      <c r="K1038">
        <v>20150130</v>
      </c>
      <c r="L1038" t="str">
        <f>"014764"</f>
        <v>014764</v>
      </c>
      <c r="M1038" t="str">
        <f>"00310"</f>
        <v>00310</v>
      </c>
      <c r="N1038" t="s">
        <v>589</v>
      </c>
      <c r="O1038">
        <v>239.16</v>
      </c>
      <c r="Q1038" t="s">
        <v>33</v>
      </c>
      <c r="R1038" t="s">
        <v>34</v>
      </c>
      <c r="S1038" t="s">
        <v>35</v>
      </c>
      <c r="T1038" t="s">
        <v>35</v>
      </c>
      <c r="U1038" t="s">
        <v>34</v>
      </c>
      <c r="V1038" t="str">
        <f>""</f>
        <v/>
      </c>
      <c r="W1038">
        <v>20150129</v>
      </c>
      <c r="X1038" t="s">
        <v>246</v>
      </c>
      <c r="Y1038" t="s">
        <v>418</v>
      </c>
      <c r="Z1038" t="s">
        <v>418</v>
      </c>
      <c r="AA1038">
        <v>0</v>
      </c>
      <c r="AB1038" t="s">
        <v>142</v>
      </c>
      <c r="AC1038" t="s">
        <v>41</v>
      </c>
      <c r="AD1038" t="s">
        <v>40</v>
      </c>
      <c r="AE1038" t="str">
        <f t="shared" si="284"/>
        <v>01</v>
      </c>
      <c r="AF1038" t="s">
        <v>40</v>
      </c>
    </row>
    <row r="1039" spans="1:32" x14ac:dyDescent="0.25">
      <c r="A1039">
        <v>5</v>
      </c>
      <c r="B1039">
        <v>420</v>
      </c>
      <c r="C1039" t="str">
        <f>"34"</f>
        <v>34</v>
      </c>
      <c r="D1039">
        <v>6249</v>
      </c>
      <c r="E1039" t="str">
        <f t="shared" si="297"/>
        <v>00</v>
      </c>
      <c r="F1039" t="str">
        <f t="shared" ref="F1039:F1059" si="298">"999"</f>
        <v>999</v>
      </c>
      <c r="G1039">
        <v>5</v>
      </c>
      <c r="H1039" t="str">
        <f t="shared" ref="H1039:H1057" si="299">"99"</f>
        <v>99</v>
      </c>
      <c r="I1039" t="str">
        <f t="shared" si="294"/>
        <v>0</v>
      </c>
      <c r="J1039" t="str">
        <f t="shared" si="293"/>
        <v>00</v>
      </c>
      <c r="K1039">
        <v>20150130</v>
      </c>
      <c r="L1039" t="str">
        <f>"014765"</f>
        <v>014765</v>
      </c>
      <c r="M1039" t="str">
        <f>"00554"</f>
        <v>00554</v>
      </c>
      <c r="N1039" t="s">
        <v>483</v>
      </c>
      <c r="O1039">
        <v>269.79000000000002</v>
      </c>
      <c r="Q1039" t="s">
        <v>33</v>
      </c>
      <c r="R1039" t="s">
        <v>34</v>
      </c>
      <c r="S1039" t="s">
        <v>35</v>
      </c>
      <c r="T1039" t="s">
        <v>35</v>
      </c>
      <c r="U1039" t="s">
        <v>34</v>
      </c>
      <c r="V1039" t="str">
        <f>""</f>
        <v/>
      </c>
      <c r="W1039">
        <v>20150129</v>
      </c>
      <c r="X1039" t="s">
        <v>484</v>
      </c>
      <c r="Y1039" t="s">
        <v>697</v>
      </c>
      <c r="Z1039" t="s">
        <v>697</v>
      </c>
      <c r="AA1039">
        <v>0</v>
      </c>
      <c r="AB1039" t="s">
        <v>142</v>
      </c>
      <c r="AC1039" t="s">
        <v>143</v>
      </c>
      <c r="AD1039" t="s">
        <v>40</v>
      </c>
      <c r="AE1039" t="str">
        <f t="shared" si="284"/>
        <v>01</v>
      </c>
      <c r="AF1039" t="s">
        <v>40</v>
      </c>
    </row>
    <row r="1040" spans="1:32" x14ac:dyDescent="0.25">
      <c r="A1040">
        <v>5</v>
      </c>
      <c r="B1040">
        <v>240</v>
      </c>
      <c r="C1040" t="str">
        <f t="shared" ref="C1040:C1049" si="300">"35"</f>
        <v>35</v>
      </c>
      <c r="D1040">
        <v>6319</v>
      </c>
      <c r="E1040" t="str">
        <f t="shared" si="297"/>
        <v>00</v>
      </c>
      <c r="F1040" t="str">
        <f t="shared" si="298"/>
        <v>999</v>
      </c>
      <c r="G1040">
        <v>5</v>
      </c>
      <c r="H1040" t="str">
        <f t="shared" si="299"/>
        <v>99</v>
      </c>
      <c r="I1040" t="str">
        <f t="shared" si="294"/>
        <v>0</v>
      </c>
      <c r="J1040" t="str">
        <f t="shared" si="293"/>
        <v>00</v>
      </c>
      <c r="K1040">
        <v>20150130</v>
      </c>
      <c r="L1040" t="str">
        <f t="shared" ref="L1040:L1048" si="301">"014766"</f>
        <v>014766</v>
      </c>
      <c r="M1040" t="str">
        <f t="shared" ref="M1040:M1048" si="302">"00391"</f>
        <v>00391</v>
      </c>
      <c r="N1040" t="s">
        <v>265</v>
      </c>
      <c r="O1040">
        <v>74.959999999999994</v>
      </c>
      <c r="Q1040" t="s">
        <v>33</v>
      </c>
      <c r="R1040" t="s">
        <v>34</v>
      </c>
      <c r="S1040" t="s">
        <v>35</v>
      </c>
      <c r="T1040" t="s">
        <v>35</v>
      </c>
      <c r="U1040" t="s">
        <v>34</v>
      </c>
      <c r="V1040" t="str">
        <f>""</f>
        <v/>
      </c>
      <c r="W1040">
        <v>20150128</v>
      </c>
      <c r="X1040" t="s">
        <v>267</v>
      </c>
      <c r="Y1040" t="s">
        <v>557</v>
      </c>
      <c r="Z1040" t="s">
        <v>557</v>
      </c>
      <c r="AA1040">
        <v>0</v>
      </c>
      <c r="AB1040" t="s">
        <v>238</v>
      </c>
      <c r="AC1040" t="s">
        <v>143</v>
      </c>
      <c r="AD1040" t="s">
        <v>40</v>
      </c>
      <c r="AE1040" t="str">
        <f t="shared" si="284"/>
        <v>01</v>
      </c>
      <c r="AF1040" t="s">
        <v>40</v>
      </c>
    </row>
    <row r="1041" spans="1:32" x14ac:dyDescent="0.25">
      <c r="A1041">
        <v>5</v>
      </c>
      <c r="B1041">
        <v>240</v>
      </c>
      <c r="C1041" t="str">
        <f t="shared" si="300"/>
        <v>35</v>
      </c>
      <c r="D1041">
        <v>6341</v>
      </c>
      <c r="E1041" t="str">
        <f t="shared" si="297"/>
        <v>00</v>
      </c>
      <c r="F1041" t="str">
        <f t="shared" si="298"/>
        <v>999</v>
      </c>
      <c r="G1041">
        <v>5</v>
      </c>
      <c r="H1041" t="str">
        <f t="shared" si="299"/>
        <v>99</v>
      </c>
      <c r="I1041" t="str">
        <f t="shared" si="294"/>
        <v>0</v>
      </c>
      <c r="J1041" t="str">
        <f t="shared" si="293"/>
        <v>00</v>
      </c>
      <c r="K1041">
        <v>20150130</v>
      </c>
      <c r="L1041" t="str">
        <f t="shared" si="301"/>
        <v>014766</v>
      </c>
      <c r="M1041" t="str">
        <f t="shared" si="302"/>
        <v>00391</v>
      </c>
      <c r="N1041" t="s">
        <v>265</v>
      </c>
      <c r="O1041">
        <v>262.33999999999997</v>
      </c>
      <c r="Q1041" t="s">
        <v>33</v>
      </c>
      <c r="R1041" t="s">
        <v>34</v>
      </c>
      <c r="S1041" t="s">
        <v>35</v>
      </c>
      <c r="T1041" t="s">
        <v>35</v>
      </c>
      <c r="U1041" t="s">
        <v>34</v>
      </c>
      <c r="V1041" t="str">
        <f>""</f>
        <v/>
      </c>
      <c r="W1041">
        <v>20150128</v>
      </c>
      <c r="X1041" t="s">
        <v>268</v>
      </c>
      <c r="Y1041" t="s">
        <v>557</v>
      </c>
      <c r="Z1041" t="s">
        <v>557</v>
      </c>
      <c r="AA1041">
        <v>0</v>
      </c>
      <c r="AB1041" t="s">
        <v>238</v>
      </c>
      <c r="AC1041" t="s">
        <v>143</v>
      </c>
      <c r="AD1041" t="s">
        <v>40</v>
      </c>
      <c r="AE1041" t="str">
        <f t="shared" si="284"/>
        <v>01</v>
      </c>
      <c r="AF1041" t="s">
        <v>40</v>
      </c>
    </row>
    <row r="1042" spans="1:32" x14ac:dyDescent="0.25">
      <c r="A1042">
        <v>5</v>
      </c>
      <c r="B1042">
        <v>240</v>
      </c>
      <c r="C1042" t="str">
        <f t="shared" si="300"/>
        <v>35</v>
      </c>
      <c r="D1042">
        <v>6341</v>
      </c>
      <c r="E1042" t="str">
        <f t="shared" si="297"/>
        <v>00</v>
      </c>
      <c r="F1042" t="str">
        <f t="shared" si="298"/>
        <v>999</v>
      </c>
      <c r="G1042">
        <v>5</v>
      </c>
      <c r="H1042" t="str">
        <f t="shared" si="299"/>
        <v>99</v>
      </c>
      <c r="I1042" t="str">
        <f t="shared" si="294"/>
        <v>0</v>
      </c>
      <c r="J1042" t="str">
        <f t="shared" si="293"/>
        <v>00</v>
      </c>
      <c r="K1042">
        <v>20150130</v>
      </c>
      <c r="L1042" t="str">
        <f t="shared" si="301"/>
        <v>014766</v>
      </c>
      <c r="M1042" t="str">
        <f t="shared" si="302"/>
        <v>00391</v>
      </c>
      <c r="N1042" t="s">
        <v>265</v>
      </c>
      <c r="O1042">
        <v>302.58</v>
      </c>
      <c r="Q1042" t="s">
        <v>33</v>
      </c>
      <c r="R1042" t="s">
        <v>34</v>
      </c>
      <c r="S1042" t="s">
        <v>35</v>
      </c>
      <c r="T1042" t="s">
        <v>35</v>
      </c>
      <c r="U1042" t="s">
        <v>34</v>
      </c>
      <c r="V1042" t="str">
        <f>""</f>
        <v/>
      </c>
      <c r="W1042">
        <v>20150128</v>
      </c>
      <c r="X1042" t="s">
        <v>268</v>
      </c>
      <c r="Y1042" t="s">
        <v>557</v>
      </c>
      <c r="Z1042" t="s">
        <v>557</v>
      </c>
      <c r="AA1042">
        <v>0</v>
      </c>
      <c r="AB1042" t="s">
        <v>238</v>
      </c>
      <c r="AC1042" t="s">
        <v>143</v>
      </c>
      <c r="AD1042" t="s">
        <v>40</v>
      </c>
      <c r="AE1042" t="str">
        <f t="shared" si="284"/>
        <v>01</v>
      </c>
      <c r="AF1042" t="s">
        <v>40</v>
      </c>
    </row>
    <row r="1043" spans="1:32" x14ac:dyDescent="0.25">
      <c r="A1043">
        <v>5</v>
      </c>
      <c r="B1043">
        <v>240</v>
      </c>
      <c r="C1043" t="str">
        <f t="shared" si="300"/>
        <v>35</v>
      </c>
      <c r="D1043">
        <v>6341</v>
      </c>
      <c r="E1043" t="str">
        <f t="shared" si="297"/>
        <v>00</v>
      </c>
      <c r="F1043" t="str">
        <f t="shared" si="298"/>
        <v>999</v>
      </c>
      <c r="G1043">
        <v>5</v>
      </c>
      <c r="H1043" t="str">
        <f t="shared" si="299"/>
        <v>99</v>
      </c>
      <c r="I1043" t="str">
        <f t="shared" si="294"/>
        <v>0</v>
      </c>
      <c r="J1043" t="str">
        <f t="shared" si="293"/>
        <v>00</v>
      </c>
      <c r="K1043">
        <v>20150130</v>
      </c>
      <c r="L1043" t="str">
        <f t="shared" si="301"/>
        <v>014766</v>
      </c>
      <c r="M1043" t="str">
        <f t="shared" si="302"/>
        <v>00391</v>
      </c>
      <c r="N1043" t="s">
        <v>265</v>
      </c>
      <c r="O1043">
        <v>647.08000000000004</v>
      </c>
      <c r="Q1043" t="s">
        <v>33</v>
      </c>
      <c r="R1043" t="s">
        <v>34</v>
      </c>
      <c r="S1043" t="s">
        <v>35</v>
      </c>
      <c r="T1043" t="s">
        <v>35</v>
      </c>
      <c r="U1043" t="s">
        <v>34</v>
      </c>
      <c r="V1043" t="str">
        <f>""</f>
        <v/>
      </c>
      <c r="W1043">
        <v>20150128</v>
      </c>
      <c r="X1043" t="s">
        <v>268</v>
      </c>
      <c r="Y1043" t="s">
        <v>557</v>
      </c>
      <c r="Z1043" t="s">
        <v>557</v>
      </c>
      <c r="AA1043">
        <v>0</v>
      </c>
      <c r="AB1043" t="s">
        <v>238</v>
      </c>
      <c r="AC1043" t="s">
        <v>143</v>
      </c>
      <c r="AD1043" t="s">
        <v>40</v>
      </c>
      <c r="AE1043" t="str">
        <f t="shared" ref="AE1043:AE1055" si="303">"01"</f>
        <v>01</v>
      </c>
      <c r="AF1043" t="s">
        <v>40</v>
      </c>
    </row>
    <row r="1044" spans="1:32" x14ac:dyDescent="0.25">
      <c r="A1044">
        <v>5</v>
      </c>
      <c r="B1044">
        <v>240</v>
      </c>
      <c r="C1044" t="str">
        <f t="shared" si="300"/>
        <v>35</v>
      </c>
      <c r="D1044">
        <v>6341</v>
      </c>
      <c r="E1044" t="str">
        <f t="shared" si="297"/>
        <v>00</v>
      </c>
      <c r="F1044" t="str">
        <f t="shared" si="298"/>
        <v>999</v>
      </c>
      <c r="G1044">
        <v>5</v>
      </c>
      <c r="H1044" t="str">
        <f t="shared" si="299"/>
        <v>99</v>
      </c>
      <c r="I1044" t="str">
        <f t="shared" si="294"/>
        <v>0</v>
      </c>
      <c r="J1044" t="str">
        <f t="shared" si="293"/>
        <v>00</v>
      </c>
      <c r="K1044">
        <v>20150130</v>
      </c>
      <c r="L1044" t="str">
        <f t="shared" si="301"/>
        <v>014766</v>
      </c>
      <c r="M1044" t="str">
        <f t="shared" si="302"/>
        <v>00391</v>
      </c>
      <c r="N1044" t="s">
        <v>265</v>
      </c>
      <c r="O1044">
        <v>714.24</v>
      </c>
      <c r="Q1044" t="s">
        <v>33</v>
      </c>
      <c r="R1044" t="s">
        <v>34</v>
      </c>
      <c r="S1044" t="s">
        <v>35</v>
      </c>
      <c r="T1044" t="s">
        <v>35</v>
      </c>
      <c r="U1044" t="s">
        <v>34</v>
      </c>
      <c r="V1044" t="str">
        <f>""</f>
        <v/>
      </c>
      <c r="W1044">
        <v>20150128</v>
      </c>
      <c r="X1044" t="s">
        <v>268</v>
      </c>
      <c r="Y1044" t="s">
        <v>557</v>
      </c>
      <c r="Z1044" t="s">
        <v>557</v>
      </c>
      <c r="AA1044">
        <v>0</v>
      </c>
      <c r="AB1044" t="s">
        <v>238</v>
      </c>
      <c r="AC1044" t="s">
        <v>143</v>
      </c>
      <c r="AD1044" t="s">
        <v>40</v>
      </c>
      <c r="AE1044" t="str">
        <f t="shared" si="303"/>
        <v>01</v>
      </c>
      <c r="AF1044" t="s">
        <v>40</v>
      </c>
    </row>
    <row r="1045" spans="1:32" x14ac:dyDescent="0.25">
      <c r="A1045">
        <v>5</v>
      </c>
      <c r="B1045">
        <v>240</v>
      </c>
      <c r="C1045" t="str">
        <f t="shared" si="300"/>
        <v>35</v>
      </c>
      <c r="D1045">
        <v>6341</v>
      </c>
      <c r="E1045" t="str">
        <f t="shared" si="297"/>
        <v>00</v>
      </c>
      <c r="F1045" t="str">
        <f t="shared" si="298"/>
        <v>999</v>
      </c>
      <c r="G1045">
        <v>5</v>
      </c>
      <c r="H1045" t="str">
        <f t="shared" si="299"/>
        <v>99</v>
      </c>
      <c r="I1045" t="str">
        <f t="shared" si="294"/>
        <v>0</v>
      </c>
      <c r="J1045" t="str">
        <f t="shared" si="293"/>
        <v>00</v>
      </c>
      <c r="K1045">
        <v>20150130</v>
      </c>
      <c r="L1045" t="str">
        <f t="shared" si="301"/>
        <v>014766</v>
      </c>
      <c r="M1045" t="str">
        <f t="shared" si="302"/>
        <v>00391</v>
      </c>
      <c r="N1045" t="s">
        <v>265</v>
      </c>
      <c r="O1045" s="1">
        <v>3148.01</v>
      </c>
      <c r="Q1045" t="s">
        <v>33</v>
      </c>
      <c r="R1045" t="s">
        <v>34</v>
      </c>
      <c r="S1045" t="s">
        <v>35</v>
      </c>
      <c r="T1045" t="s">
        <v>35</v>
      </c>
      <c r="U1045" t="s">
        <v>34</v>
      </c>
      <c r="V1045" t="str">
        <f>""</f>
        <v/>
      </c>
      <c r="W1045">
        <v>20150128</v>
      </c>
      <c r="X1045" t="s">
        <v>268</v>
      </c>
      <c r="Y1045" t="s">
        <v>557</v>
      </c>
      <c r="Z1045" t="s">
        <v>557</v>
      </c>
      <c r="AA1045">
        <v>0</v>
      </c>
      <c r="AB1045" t="s">
        <v>238</v>
      </c>
      <c r="AC1045" t="s">
        <v>143</v>
      </c>
      <c r="AD1045" t="s">
        <v>40</v>
      </c>
      <c r="AE1045" t="str">
        <f t="shared" si="303"/>
        <v>01</v>
      </c>
      <c r="AF1045" t="s">
        <v>40</v>
      </c>
    </row>
    <row r="1046" spans="1:32" x14ac:dyDescent="0.25">
      <c r="A1046">
        <v>5</v>
      </c>
      <c r="B1046">
        <v>240</v>
      </c>
      <c r="C1046" t="str">
        <f t="shared" si="300"/>
        <v>35</v>
      </c>
      <c r="D1046">
        <v>6342</v>
      </c>
      <c r="E1046" t="str">
        <f t="shared" si="297"/>
        <v>00</v>
      </c>
      <c r="F1046" t="str">
        <f t="shared" si="298"/>
        <v>999</v>
      </c>
      <c r="G1046">
        <v>5</v>
      </c>
      <c r="H1046" t="str">
        <f t="shared" si="299"/>
        <v>99</v>
      </c>
      <c r="I1046" t="str">
        <f t="shared" si="294"/>
        <v>0</v>
      </c>
      <c r="J1046" t="str">
        <f t="shared" si="293"/>
        <v>00</v>
      </c>
      <c r="K1046">
        <v>20150130</v>
      </c>
      <c r="L1046" t="str">
        <f t="shared" si="301"/>
        <v>014766</v>
      </c>
      <c r="M1046" t="str">
        <f t="shared" si="302"/>
        <v>00391</v>
      </c>
      <c r="N1046" t="s">
        <v>265</v>
      </c>
      <c r="O1046">
        <v>234.14</v>
      </c>
      <c r="Q1046" t="s">
        <v>33</v>
      </c>
      <c r="R1046" t="s">
        <v>34</v>
      </c>
      <c r="S1046" t="s">
        <v>35</v>
      </c>
      <c r="T1046" t="s">
        <v>35</v>
      </c>
      <c r="U1046" t="s">
        <v>34</v>
      </c>
      <c r="V1046" t="str">
        <f>""</f>
        <v/>
      </c>
      <c r="W1046">
        <v>20150128</v>
      </c>
      <c r="X1046" t="s">
        <v>269</v>
      </c>
      <c r="Y1046" t="s">
        <v>557</v>
      </c>
      <c r="Z1046" t="s">
        <v>557</v>
      </c>
      <c r="AA1046">
        <v>0</v>
      </c>
      <c r="AB1046" t="s">
        <v>238</v>
      </c>
      <c r="AC1046" t="s">
        <v>143</v>
      </c>
      <c r="AD1046" t="s">
        <v>40</v>
      </c>
      <c r="AE1046" t="str">
        <f t="shared" si="303"/>
        <v>01</v>
      </c>
      <c r="AF1046" t="s">
        <v>40</v>
      </c>
    </row>
    <row r="1047" spans="1:32" x14ac:dyDescent="0.25">
      <c r="A1047">
        <v>5</v>
      </c>
      <c r="B1047">
        <v>240</v>
      </c>
      <c r="C1047" t="str">
        <f t="shared" si="300"/>
        <v>35</v>
      </c>
      <c r="D1047">
        <v>6342</v>
      </c>
      <c r="E1047" t="str">
        <f t="shared" si="297"/>
        <v>00</v>
      </c>
      <c r="F1047" t="str">
        <f t="shared" si="298"/>
        <v>999</v>
      </c>
      <c r="G1047">
        <v>5</v>
      </c>
      <c r="H1047" t="str">
        <f t="shared" si="299"/>
        <v>99</v>
      </c>
      <c r="I1047" t="str">
        <f t="shared" si="294"/>
        <v>0</v>
      </c>
      <c r="J1047" t="str">
        <f t="shared" si="293"/>
        <v>00</v>
      </c>
      <c r="K1047">
        <v>20150130</v>
      </c>
      <c r="L1047" t="str">
        <f t="shared" si="301"/>
        <v>014766</v>
      </c>
      <c r="M1047" t="str">
        <f t="shared" si="302"/>
        <v>00391</v>
      </c>
      <c r="N1047" t="s">
        <v>265</v>
      </c>
      <c r="O1047">
        <v>37.24</v>
      </c>
      <c r="Q1047" t="s">
        <v>33</v>
      </c>
      <c r="R1047" t="s">
        <v>34</v>
      </c>
      <c r="S1047" t="s">
        <v>35</v>
      </c>
      <c r="T1047" t="s">
        <v>35</v>
      </c>
      <c r="U1047" t="s">
        <v>34</v>
      </c>
      <c r="V1047" t="str">
        <f>""</f>
        <v/>
      </c>
      <c r="W1047">
        <v>20150128</v>
      </c>
      <c r="X1047" t="s">
        <v>269</v>
      </c>
      <c r="Y1047" t="s">
        <v>557</v>
      </c>
      <c r="Z1047" t="s">
        <v>557</v>
      </c>
      <c r="AA1047">
        <v>0</v>
      </c>
      <c r="AB1047" t="s">
        <v>238</v>
      </c>
      <c r="AC1047" t="s">
        <v>143</v>
      </c>
      <c r="AD1047" t="s">
        <v>40</v>
      </c>
      <c r="AE1047" t="str">
        <f t="shared" si="303"/>
        <v>01</v>
      </c>
      <c r="AF1047" t="s">
        <v>40</v>
      </c>
    </row>
    <row r="1048" spans="1:32" x14ac:dyDescent="0.25">
      <c r="A1048">
        <v>5</v>
      </c>
      <c r="B1048">
        <v>240</v>
      </c>
      <c r="C1048" t="str">
        <f t="shared" si="300"/>
        <v>35</v>
      </c>
      <c r="D1048">
        <v>6342</v>
      </c>
      <c r="E1048" t="str">
        <f t="shared" si="297"/>
        <v>00</v>
      </c>
      <c r="F1048" t="str">
        <f t="shared" si="298"/>
        <v>999</v>
      </c>
      <c r="G1048">
        <v>5</v>
      </c>
      <c r="H1048" t="str">
        <f t="shared" si="299"/>
        <v>99</v>
      </c>
      <c r="I1048" t="str">
        <f t="shared" si="294"/>
        <v>0</v>
      </c>
      <c r="J1048" t="str">
        <f t="shared" si="293"/>
        <v>00</v>
      </c>
      <c r="K1048">
        <v>20150130</v>
      </c>
      <c r="L1048" t="str">
        <f t="shared" si="301"/>
        <v>014766</v>
      </c>
      <c r="M1048" t="str">
        <f t="shared" si="302"/>
        <v>00391</v>
      </c>
      <c r="N1048" t="s">
        <v>265</v>
      </c>
      <c r="O1048">
        <v>31.38</v>
      </c>
      <c r="Q1048" t="s">
        <v>33</v>
      </c>
      <c r="R1048" t="s">
        <v>34</v>
      </c>
      <c r="S1048" t="s">
        <v>35</v>
      </c>
      <c r="T1048" t="s">
        <v>35</v>
      </c>
      <c r="U1048" t="s">
        <v>34</v>
      </c>
      <c r="V1048" t="str">
        <f>""</f>
        <v/>
      </c>
      <c r="W1048">
        <v>20150128</v>
      </c>
      <c r="X1048" t="s">
        <v>269</v>
      </c>
      <c r="Y1048" t="s">
        <v>557</v>
      </c>
      <c r="Z1048" t="s">
        <v>557</v>
      </c>
      <c r="AA1048">
        <v>0</v>
      </c>
      <c r="AB1048" t="s">
        <v>238</v>
      </c>
      <c r="AC1048" t="s">
        <v>143</v>
      </c>
      <c r="AD1048" t="s">
        <v>40</v>
      </c>
      <c r="AE1048" t="str">
        <f t="shared" si="303"/>
        <v>01</v>
      </c>
      <c r="AF1048" t="s">
        <v>40</v>
      </c>
    </row>
    <row r="1049" spans="1:32" x14ac:dyDescent="0.25">
      <c r="A1049">
        <v>5</v>
      </c>
      <c r="B1049">
        <v>240</v>
      </c>
      <c r="C1049" t="str">
        <f t="shared" si="300"/>
        <v>35</v>
      </c>
      <c r="D1049">
        <v>6299</v>
      </c>
      <c r="E1049" t="str">
        <f t="shared" si="297"/>
        <v>00</v>
      </c>
      <c r="F1049" t="str">
        <f t="shared" si="298"/>
        <v>999</v>
      </c>
      <c r="G1049">
        <v>5</v>
      </c>
      <c r="H1049" t="str">
        <f t="shared" si="299"/>
        <v>99</v>
      </c>
      <c r="I1049" t="str">
        <f t="shared" si="294"/>
        <v>0</v>
      </c>
      <c r="J1049" t="str">
        <f t="shared" si="293"/>
        <v>00</v>
      </c>
      <c r="K1049">
        <v>20150130</v>
      </c>
      <c r="L1049" t="str">
        <f>"014767"</f>
        <v>014767</v>
      </c>
      <c r="M1049" t="str">
        <f>"00577"</f>
        <v>00577</v>
      </c>
      <c r="N1049" t="s">
        <v>251</v>
      </c>
      <c r="O1049">
        <v>39.04</v>
      </c>
      <c r="Q1049" t="s">
        <v>33</v>
      </c>
      <c r="R1049" t="s">
        <v>34</v>
      </c>
      <c r="S1049" t="s">
        <v>35</v>
      </c>
      <c r="T1049" t="s">
        <v>35</v>
      </c>
      <c r="U1049" t="s">
        <v>34</v>
      </c>
      <c r="V1049" t="str">
        <f>""</f>
        <v/>
      </c>
      <c r="W1049">
        <v>20150129</v>
      </c>
      <c r="X1049" t="s">
        <v>252</v>
      </c>
      <c r="Y1049" t="s">
        <v>253</v>
      </c>
      <c r="Z1049" t="s">
        <v>253</v>
      </c>
      <c r="AA1049">
        <v>0</v>
      </c>
      <c r="AB1049" t="s">
        <v>238</v>
      </c>
      <c r="AC1049" t="s">
        <v>143</v>
      </c>
      <c r="AD1049" t="s">
        <v>40</v>
      </c>
      <c r="AE1049" t="str">
        <f t="shared" si="303"/>
        <v>01</v>
      </c>
      <c r="AF1049" t="s">
        <v>40</v>
      </c>
    </row>
    <row r="1050" spans="1:32" x14ac:dyDescent="0.25">
      <c r="A1050">
        <v>5</v>
      </c>
      <c r="B1050">
        <v>420</v>
      </c>
      <c r="C1050" t="str">
        <f>"51"</f>
        <v>51</v>
      </c>
      <c r="D1050">
        <v>6299</v>
      </c>
      <c r="E1050" t="str">
        <f t="shared" si="297"/>
        <v>00</v>
      </c>
      <c r="F1050" t="str">
        <f t="shared" si="298"/>
        <v>999</v>
      </c>
      <c r="G1050">
        <v>5</v>
      </c>
      <c r="H1050" t="str">
        <f t="shared" si="299"/>
        <v>99</v>
      </c>
      <c r="I1050" t="str">
        <f t="shared" si="294"/>
        <v>0</v>
      </c>
      <c r="J1050" t="str">
        <f t="shared" si="293"/>
        <v>00</v>
      </c>
      <c r="K1050">
        <v>20150130</v>
      </c>
      <c r="L1050" t="str">
        <f>"014767"</f>
        <v>014767</v>
      </c>
      <c r="M1050" t="str">
        <f>"00577"</f>
        <v>00577</v>
      </c>
      <c r="N1050" t="s">
        <v>251</v>
      </c>
      <c r="O1050">
        <v>39.04</v>
      </c>
      <c r="Q1050" t="s">
        <v>33</v>
      </c>
      <c r="R1050" t="s">
        <v>34</v>
      </c>
      <c r="S1050" t="s">
        <v>35</v>
      </c>
      <c r="T1050" t="s">
        <v>35</v>
      </c>
      <c r="U1050" t="s">
        <v>34</v>
      </c>
      <c r="V1050" t="str">
        <f>""</f>
        <v/>
      </c>
      <c r="W1050">
        <v>20150128</v>
      </c>
      <c r="X1050" t="s">
        <v>203</v>
      </c>
      <c r="Y1050" t="s">
        <v>253</v>
      </c>
      <c r="Z1050" t="s">
        <v>253</v>
      </c>
      <c r="AA1050">
        <v>0</v>
      </c>
      <c r="AB1050" t="s">
        <v>142</v>
      </c>
      <c r="AC1050" t="s">
        <v>143</v>
      </c>
      <c r="AD1050" t="s">
        <v>40</v>
      </c>
      <c r="AE1050" t="str">
        <f t="shared" si="303"/>
        <v>01</v>
      </c>
      <c r="AF1050" t="s">
        <v>40</v>
      </c>
    </row>
    <row r="1051" spans="1:32" x14ac:dyDescent="0.25">
      <c r="A1051">
        <v>5</v>
      </c>
      <c r="B1051">
        <v>420</v>
      </c>
      <c r="C1051" t="str">
        <f>"51"</f>
        <v>51</v>
      </c>
      <c r="D1051">
        <v>6299</v>
      </c>
      <c r="E1051" t="str">
        <f t="shared" si="297"/>
        <v>00</v>
      </c>
      <c r="F1051" t="str">
        <f t="shared" si="298"/>
        <v>999</v>
      </c>
      <c r="G1051">
        <v>5</v>
      </c>
      <c r="H1051" t="str">
        <f t="shared" si="299"/>
        <v>99</v>
      </c>
      <c r="I1051" t="str">
        <f t="shared" si="294"/>
        <v>0</v>
      </c>
      <c r="J1051" t="str">
        <f t="shared" si="293"/>
        <v>00</v>
      </c>
      <c r="K1051">
        <v>20150130</v>
      </c>
      <c r="L1051" t="str">
        <f>"014767"</f>
        <v>014767</v>
      </c>
      <c r="M1051" t="str">
        <f>"00577"</f>
        <v>00577</v>
      </c>
      <c r="N1051" t="s">
        <v>251</v>
      </c>
      <c r="O1051">
        <v>39.04</v>
      </c>
      <c r="Q1051" t="s">
        <v>33</v>
      </c>
      <c r="R1051" t="s">
        <v>34</v>
      </c>
      <c r="S1051" t="s">
        <v>35</v>
      </c>
      <c r="T1051" t="s">
        <v>35</v>
      </c>
      <c r="U1051" t="s">
        <v>34</v>
      </c>
      <c r="V1051" t="str">
        <f>""</f>
        <v/>
      </c>
      <c r="W1051">
        <v>20150128</v>
      </c>
      <c r="X1051" t="s">
        <v>203</v>
      </c>
      <c r="Y1051" t="s">
        <v>253</v>
      </c>
      <c r="Z1051" t="s">
        <v>253</v>
      </c>
      <c r="AA1051">
        <v>0</v>
      </c>
      <c r="AB1051" t="s">
        <v>142</v>
      </c>
      <c r="AC1051" t="s">
        <v>143</v>
      </c>
      <c r="AD1051" t="s">
        <v>40</v>
      </c>
      <c r="AE1051" t="str">
        <f t="shared" si="303"/>
        <v>01</v>
      </c>
      <c r="AF1051" t="s">
        <v>40</v>
      </c>
    </row>
    <row r="1052" spans="1:32" x14ac:dyDescent="0.25">
      <c r="A1052">
        <v>5</v>
      </c>
      <c r="B1052">
        <v>420</v>
      </c>
      <c r="C1052" t="str">
        <f>"51"</f>
        <v>51</v>
      </c>
      <c r="D1052">
        <v>6299</v>
      </c>
      <c r="E1052" t="str">
        <f t="shared" si="297"/>
        <v>00</v>
      </c>
      <c r="F1052" t="str">
        <f t="shared" si="298"/>
        <v>999</v>
      </c>
      <c r="G1052">
        <v>5</v>
      </c>
      <c r="H1052" t="str">
        <f t="shared" si="299"/>
        <v>99</v>
      </c>
      <c r="I1052" t="str">
        <f t="shared" si="294"/>
        <v>0</v>
      </c>
      <c r="J1052" t="str">
        <f t="shared" si="293"/>
        <v>00</v>
      </c>
      <c r="K1052">
        <v>20150130</v>
      </c>
      <c r="L1052" t="str">
        <f>"014767"</f>
        <v>014767</v>
      </c>
      <c r="M1052" t="str">
        <f>"00577"</f>
        <v>00577</v>
      </c>
      <c r="N1052" t="s">
        <v>251</v>
      </c>
      <c r="O1052">
        <v>63.72</v>
      </c>
      <c r="Q1052" t="s">
        <v>33</v>
      </c>
      <c r="R1052" t="s">
        <v>34</v>
      </c>
      <c r="S1052" t="s">
        <v>35</v>
      </c>
      <c r="T1052" t="s">
        <v>35</v>
      </c>
      <c r="U1052" t="s">
        <v>34</v>
      </c>
      <c r="V1052" t="str">
        <f>""</f>
        <v/>
      </c>
      <c r="W1052">
        <v>20150129</v>
      </c>
      <c r="X1052" t="s">
        <v>203</v>
      </c>
      <c r="Y1052" t="s">
        <v>253</v>
      </c>
      <c r="Z1052" t="s">
        <v>253</v>
      </c>
      <c r="AA1052">
        <v>0</v>
      </c>
      <c r="AB1052" t="s">
        <v>142</v>
      </c>
      <c r="AC1052" t="s">
        <v>143</v>
      </c>
      <c r="AD1052" t="s">
        <v>40</v>
      </c>
      <c r="AE1052" t="str">
        <f t="shared" si="303"/>
        <v>01</v>
      </c>
      <c r="AF1052" t="s">
        <v>40</v>
      </c>
    </row>
    <row r="1053" spans="1:32" x14ac:dyDescent="0.25">
      <c r="A1053">
        <v>5</v>
      </c>
      <c r="B1053">
        <v>420</v>
      </c>
      <c r="C1053" t="str">
        <f>"51"</f>
        <v>51</v>
      </c>
      <c r="D1053">
        <v>6299</v>
      </c>
      <c r="E1053" t="str">
        <f t="shared" si="297"/>
        <v>00</v>
      </c>
      <c r="F1053" t="str">
        <f t="shared" si="298"/>
        <v>999</v>
      </c>
      <c r="G1053">
        <v>5</v>
      </c>
      <c r="H1053" t="str">
        <f t="shared" si="299"/>
        <v>99</v>
      </c>
      <c r="I1053" t="str">
        <f t="shared" si="294"/>
        <v>0</v>
      </c>
      <c r="J1053" t="str">
        <f t="shared" si="293"/>
        <v>00</v>
      </c>
      <c r="K1053">
        <v>20150130</v>
      </c>
      <c r="L1053" t="str">
        <f>"014767"</f>
        <v>014767</v>
      </c>
      <c r="M1053" t="str">
        <f>"00577"</f>
        <v>00577</v>
      </c>
      <c r="N1053" t="s">
        <v>251</v>
      </c>
      <c r="O1053">
        <v>63.72</v>
      </c>
      <c r="Q1053" t="s">
        <v>33</v>
      </c>
      <c r="R1053" t="s">
        <v>34</v>
      </c>
      <c r="S1053" t="s">
        <v>35</v>
      </c>
      <c r="T1053" t="s">
        <v>35</v>
      </c>
      <c r="U1053" t="s">
        <v>34</v>
      </c>
      <c r="V1053" t="str">
        <f>""</f>
        <v/>
      </c>
      <c r="W1053">
        <v>20150129</v>
      </c>
      <c r="X1053" t="s">
        <v>203</v>
      </c>
      <c r="Y1053" t="s">
        <v>253</v>
      </c>
      <c r="Z1053" t="s">
        <v>253</v>
      </c>
      <c r="AA1053">
        <v>0</v>
      </c>
      <c r="AB1053" t="s">
        <v>142</v>
      </c>
      <c r="AC1053" t="s">
        <v>143</v>
      </c>
      <c r="AD1053" t="s">
        <v>40</v>
      </c>
      <c r="AE1053" t="str">
        <f t="shared" si="303"/>
        <v>01</v>
      </c>
      <c r="AF1053" t="s">
        <v>40</v>
      </c>
    </row>
    <row r="1054" spans="1:32" x14ac:dyDescent="0.25">
      <c r="A1054">
        <v>5</v>
      </c>
      <c r="B1054">
        <v>420</v>
      </c>
      <c r="C1054" t="str">
        <f>"34"</f>
        <v>34</v>
      </c>
      <c r="D1054">
        <v>6513</v>
      </c>
      <c r="E1054" t="str">
        <f t="shared" si="297"/>
        <v>00</v>
      </c>
      <c r="F1054" t="str">
        <f t="shared" si="298"/>
        <v>999</v>
      </c>
      <c r="G1054">
        <v>5</v>
      </c>
      <c r="H1054" t="str">
        <f t="shared" si="299"/>
        <v>99</v>
      </c>
      <c r="I1054" t="str">
        <f t="shared" si="294"/>
        <v>0</v>
      </c>
      <c r="J1054" t="str">
        <f t="shared" si="293"/>
        <v>00</v>
      </c>
      <c r="K1054">
        <v>20150130</v>
      </c>
      <c r="L1054" t="str">
        <f>"014768"</f>
        <v>014768</v>
      </c>
      <c r="M1054" t="str">
        <f>"00520"</f>
        <v>00520</v>
      </c>
      <c r="N1054" t="s">
        <v>329</v>
      </c>
      <c r="O1054" s="1">
        <v>1351.47</v>
      </c>
      <c r="Q1054" t="s">
        <v>33</v>
      </c>
      <c r="R1054" t="s">
        <v>34</v>
      </c>
      <c r="S1054" t="s">
        <v>35</v>
      </c>
      <c r="T1054" t="s">
        <v>35</v>
      </c>
      <c r="U1054" t="s">
        <v>34</v>
      </c>
      <c r="V1054" t="str">
        <f>""</f>
        <v/>
      </c>
      <c r="W1054">
        <v>20150128</v>
      </c>
      <c r="X1054" t="s">
        <v>330</v>
      </c>
      <c r="Y1054" t="s">
        <v>639</v>
      </c>
      <c r="Z1054" t="s">
        <v>639</v>
      </c>
      <c r="AA1054">
        <v>0</v>
      </c>
      <c r="AB1054" t="s">
        <v>142</v>
      </c>
      <c r="AC1054" t="s">
        <v>143</v>
      </c>
      <c r="AD1054" t="s">
        <v>40</v>
      </c>
      <c r="AE1054" t="str">
        <f t="shared" si="303"/>
        <v>01</v>
      </c>
      <c r="AF1054" t="s">
        <v>40</v>
      </c>
    </row>
    <row r="1055" spans="1:32" x14ac:dyDescent="0.25">
      <c r="A1055">
        <v>5</v>
      </c>
      <c r="B1055">
        <v>420</v>
      </c>
      <c r="C1055" t="str">
        <f>"34"</f>
        <v>34</v>
      </c>
      <c r="D1055">
        <v>6523</v>
      </c>
      <c r="E1055" t="str">
        <f t="shared" si="297"/>
        <v>00</v>
      </c>
      <c r="F1055" t="str">
        <f t="shared" si="298"/>
        <v>999</v>
      </c>
      <c r="G1055">
        <v>5</v>
      </c>
      <c r="H1055" t="str">
        <f t="shared" si="299"/>
        <v>99</v>
      </c>
      <c r="I1055" t="str">
        <f t="shared" si="294"/>
        <v>0</v>
      </c>
      <c r="J1055" t="str">
        <f t="shared" si="293"/>
        <v>00</v>
      </c>
      <c r="K1055">
        <v>20150130</v>
      </c>
      <c r="L1055" t="str">
        <f>"014768"</f>
        <v>014768</v>
      </c>
      <c r="M1055" t="str">
        <f>"00520"</f>
        <v>00520</v>
      </c>
      <c r="N1055" t="s">
        <v>329</v>
      </c>
      <c r="O1055">
        <v>363.95</v>
      </c>
      <c r="Q1055" t="s">
        <v>33</v>
      </c>
      <c r="R1055" t="s">
        <v>34</v>
      </c>
      <c r="S1055" t="s">
        <v>35</v>
      </c>
      <c r="T1055" t="s">
        <v>35</v>
      </c>
      <c r="U1055" t="s">
        <v>34</v>
      </c>
      <c r="V1055" t="str">
        <f>""</f>
        <v/>
      </c>
      <c r="W1055">
        <v>20150128</v>
      </c>
      <c r="X1055" t="s">
        <v>640</v>
      </c>
      <c r="Y1055" t="s">
        <v>639</v>
      </c>
      <c r="Z1055" t="s">
        <v>639</v>
      </c>
      <c r="AA1055">
        <v>0</v>
      </c>
      <c r="AB1055" t="s">
        <v>142</v>
      </c>
      <c r="AC1055" t="s">
        <v>143</v>
      </c>
      <c r="AD1055" t="s">
        <v>40</v>
      </c>
      <c r="AE1055" t="str">
        <f t="shared" si="303"/>
        <v>01</v>
      </c>
      <c r="AF1055" t="s">
        <v>40</v>
      </c>
    </row>
    <row r="1056" spans="1:32" x14ac:dyDescent="0.25">
      <c r="A1056">
        <v>5</v>
      </c>
      <c r="B1056">
        <v>420</v>
      </c>
      <c r="C1056" t="str">
        <f>"51"</f>
        <v>51</v>
      </c>
      <c r="D1056">
        <v>6269</v>
      </c>
      <c r="E1056" t="str">
        <f t="shared" si="297"/>
        <v>00</v>
      </c>
      <c r="F1056" t="str">
        <f t="shared" si="298"/>
        <v>999</v>
      </c>
      <c r="G1056">
        <v>5</v>
      </c>
      <c r="H1056" t="str">
        <f t="shared" si="299"/>
        <v>99</v>
      </c>
      <c r="I1056" t="str">
        <f t="shared" si="294"/>
        <v>0</v>
      </c>
      <c r="J1056" t="str">
        <f t="shared" si="293"/>
        <v>00</v>
      </c>
      <c r="K1056">
        <v>20150205</v>
      </c>
      <c r="L1056" t="str">
        <f>"014769"</f>
        <v>014769</v>
      </c>
      <c r="M1056" t="str">
        <f>"00035"</f>
        <v>00035</v>
      </c>
      <c r="N1056" t="s">
        <v>698</v>
      </c>
      <c r="O1056">
        <v>301.52</v>
      </c>
      <c r="Q1056" t="s">
        <v>33</v>
      </c>
      <c r="R1056" t="s">
        <v>34</v>
      </c>
      <c r="S1056" t="s">
        <v>35</v>
      </c>
      <c r="T1056" t="s">
        <v>35</v>
      </c>
      <c r="U1056" t="s">
        <v>34</v>
      </c>
      <c r="V1056" t="str">
        <f>""</f>
        <v/>
      </c>
      <c r="W1056">
        <v>20150204</v>
      </c>
      <c r="X1056" t="s">
        <v>225</v>
      </c>
      <c r="Y1056" t="s">
        <v>549</v>
      </c>
      <c r="Z1056" t="s">
        <v>549</v>
      </c>
      <c r="AA1056">
        <v>0</v>
      </c>
      <c r="AB1056" t="s">
        <v>142</v>
      </c>
      <c r="AC1056" t="s">
        <v>143</v>
      </c>
      <c r="AD1056" t="s">
        <v>40</v>
      </c>
      <c r="AE1056" t="str">
        <f t="shared" ref="AE1056:AE1087" si="304">"02"</f>
        <v>02</v>
      </c>
      <c r="AF1056" t="s">
        <v>40</v>
      </c>
    </row>
    <row r="1057" spans="1:32" x14ac:dyDescent="0.25">
      <c r="A1057">
        <v>5</v>
      </c>
      <c r="B1057">
        <v>240</v>
      </c>
      <c r="C1057" t="str">
        <f>"35"</f>
        <v>35</v>
      </c>
      <c r="D1057">
        <v>6341</v>
      </c>
      <c r="E1057" t="str">
        <f t="shared" si="297"/>
        <v>00</v>
      </c>
      <c r="F1057" t="str">
        <f t="shared" si="298"/>
        <v>999</v>
      </c>
      <c r="G1057">
        <v>5</v>
      </c>
      <c r="H1057" t="str">
        <f t="shared" si="299"/>
        <v>99</v>
      </c>
      <c r="I1057" t="str">
        <f t="shared" si="294"/>
        <v>0</v>
      </c>
      <c r="J1057" t="str">
        <f t="shared" si="293"/>
        <v>00</v>
      </c>
      <c r="K1057">
        <v>20150205</v>
      </c>
      <c r="L1057" t="str">
        <f>"014770"</f>
        <v>014770</v>
      </c>
      <c r="M1057" t="str">
        <f>"00048"</f>
        <v>00048</v>
      </c>
      <c r="N1057" t="s">
        <v>647</v>
      </c>
      <c r="O1057">
        <v>111.24</v>
      </c>
      <c r="Q1057" t="s">
        <v>33</v>
      </c>
      <c r="R1057" t="s">
        <v>34</v>
      </c>
      <c r="S1057" t="s">
        <v>35</v>
      </c>
      <c r="T1057" t="s">
        <v>35</v>
      </c>
      <c r="U1057" t="s">
        <v>34</v>
      </c>
      <c r="V1057" t="str">
        <f>""</f>
        <v/>
      </c>
      <c r="W1057">
        <v>20150203</v>
      </c>
      <c r="X1057" t="s">
        <v>268</v>
      </c>
      <c r="Y1057" t="s">
        <v>573</v>
      </c>
      <c r="Z1057" t="s">
        <v>573</v>
      </c>
      <c r="AA1057">
        <v>0</v>
      </c>
      <c r="AB1057" t="s">
        <v>238</v>
      </c>
      <c r="AC1057" t="s">
        <v>143</v>
      </c>
      <c r="AD1057" t="s">
        <v>40</v>
      </c>
      <c r="AE1057" t="str">
        <f t="shared" si="304"/>
        <v>02</v>
      </c>
      <c r="AF1057" t="s">
        <v>40</v>
      </c>
    </row>
    <row r="1058" spans="1:32" x14ac:dyDescent="0.25">
      <c r="A1058">
        <v>5</v>
      </c>
      <c r="B1058">
        <v>420</v>
      </c>
      <c r="C1058" t="str">
        <f>"61"</f>
        <v>61</v>
      </c>
      <c r="D1058">
        <v>6219</v>
      </c>
      <c r="E1058" t="str">
        <f t="shared" si="297"/>
        <v>00</v>
      </c>
      <c r="F1058" t="str">
        <f t="shared" si="298"/>
        <v>999</v>
      </c>
      <c r="G1058">
        <v>5</v>
      </c>
      <c r="H1058" t="str">
        <f>"11"</f>
        <v>11</v>
      </c>
      <c r="I1058" t="str">
        <f t="shared" si="294"/>
        <v>0</v>
      </c>
      <c r="J1058" t="str">
        <f t="shared" si="293"/>
        <v>00</v>
      </c>
      <c r="K1058">
        <v>20150205</v>
      </c>
      <c r="L1058" t="str">
        <f>"014771"</f>
        <v>014771</v>
      </c>
      <c r="M1058" t="str">
        <f>"00566"</f>
        <v>00566</v>
      </c>
      <c r="N1058" t="s">
        <v>221</v>
      </c>
      <c r="O1058">
        <v>67</v>
      </c>
      <c r="Q1058" t="s">
        <v>33</v>
      </c>
      <c r="R1058" t="s">
        <v>34</v>
      </c>
      <c r="S1058" t="s">
        <v>35</v>
      </c>
      <c r="T1058" t="s">
        <v>35</v>
      </c>
      <c r="U1058" t="s">
        <v>34</v>
      </c>
      <c r="V1058" t="str">
        <f>""</f>
        <v/>
      </c>
      <c r="W1058">
        <v>20150204</v>
      </c>
      <c r="X1058" t="s">
        <v>222</v>
      </c>
      <c r="Y1058" t="s">
        <v>699</v>
      </c>
      <c r="Z1058" t="s">
        <v>699</v>
      </c>
      <c r="AA1058">
        <v>0</v>
      </c>
      <c r="AB1058" t="s">
        <v>142</v>
      </c>
      <c r="AC1058" t="s">
        <v>143</v>
      </c>
      <c r="AD1058" t="s">
        <v>40</v>
      </c>
      <c r="AE1058" t="str">
        <f t="shared" si="304"/>
        <v>02</v>
      </c>
      <c r="AF1058" t="s">
        <v>40</v>
      </c>
    </row>
    <row r="1059" spans="1:32" x14ac:dyDescent="0.25">
      <c r="A1059">
        <v>5</v>
      </c>
      <c r="B1059">
        <v>420</v>
      </c>
      <c r="C1059" t="str">
        <f>"11"</f>
        <v>11</v>
      </c>
      <c r="D1059">
        <v>6411</v>
      </c>
      <c r="E1059" t="str">
        <f t="shared" si="297"/>
        <v>00</v>
      </c>
      <c r="F1059" t="str">
        <f t="shared" si="298"/>
        <v>999</v>
      </c>
      <c r="G1059">
        <v>5</v>
      </c>
      <c r="H1059" t="str">
        <f>"11"</f>
        <v>11</v>
      </c>
      <c r="I1059" t="str">
        <f t="shared" si="294"/>
        <v>0</v>
      </c>
      <c r="J1059" t="str">
        <f t="shared" si="293"/>
        <v>00</v>
      </c>
      <c r="K1059">
        <v>20150205</v>
      </c>
      <c r="L1059" t="str">
        <f>"014772"</f>
        <v>014772</v>
      </c>
      <c r="M1059" t="str">
        <f>"00762"</f>
        <v>00762</v>
      </c>
      <c r="N1059" t="s">
        <v>52</v>
      </c>
      <c r="O1059">
        <v>30.58</v>
      </c>
      <c r="Q1059" t="s">
        <v>33</v>
      </c>
      <c r="R1059" t="s">
        <v>34</v>
      </c>
      <c r="S1059" t="s">
        <v>35</v>
      </c>
      <c r="T1059" t="s">
        <v>35</v>
      </c>
      <c r="U1059" t="s">
        <v>34</v>
      </c>
      <c r="V1059" t="str">
        <f>""</f>
        <v/>
      </c>
      <c r="W1059">
        <v>20150204</v>
      </c>
      <c r="X1059" t="s">
        <v>328</v>
      </c>
      <c r="Y1059" t="s">
        <v>700</v>
      </c>
      <c r="Z1059" t="s">
        <v>700</v>
      </c>
      <c r="AA1059">
        <v>0</v>
      </c>
      <c r="AB1059" t="s">
        <v>142</v>
      </c>
      <c r="AC1059" t="s">
        <v>143</v>
      </c>
      <c r="AD1059" t="s">
        <v>40</v>
      </c>
      <c r="AE1059" t="str">
        <f t="shared" si="304"/>
        <v>02</v>
      </c>
      <c r="AF1059" t="s">
        <v>40</v>
      </c>
    </row>
    <row r="1060" spans="1:32" x14ac:dyDescent="0.25">
      <c r="A1060">
        <v>5</v>
      </c>
      <c r="B1060">
        <v>420</v>
      </c>
      <c r="C1060" t="str">
        <f>"11"</f>
        <v>11</v>
      </c>
      <c r="D1060">
        <v>6399</v>
      </c>
      <c r="E1060" t="str">
        <f t="shared" si="297"/>
        <v>00</v>
      </c>
      <c r="F1060" t="str">
        <f>"101"</f>
        <v>101</v>
      </c>
      <c r="G1060">
        <v>5</v>
      </c>
      <c r="H1060" t="str">
        <f>"11"</f>
        <v>11</v>
      </c>
      <c r="I1060" t="str">
        <f t="shared" si="294"/>
        <v>0</v>
      </c>
      <c r="J1060" t="str">
        <f t="shared" si="293"/>
        <v>00</v>
      </c>
      <c r="K1060">
        <v>20150205</v>
      </c>
      <c r="L1060" t="str">
        <f>"014773"</f>
        <v>014773</v>
      </c>
      <c r="M1060" t="str">
        <f>"00291"</f>
        <v>00291</v>
      </c>
      <c r="N1060" t="s">
        <v>658</v>
      </c>
      <c r="O1060">
        <v>50</v>
      </c>
      <c r="Q1060" t="s">
        <v>33</v>
      </c>
      <c r="R1060" t="s">
        <v>34</v>
      </c>
      <c r="S1060" t="s">
        <v>35</v>
      </c>
      <c r="T1060" t="s">
        <v>35</v>
      </c>
      <c r="U1060" t="s">
        <v>34</v>
      </c>
      <c r="V1060" t="str">
        <f>""</f>
        <v/>
      </c>
      <c r="W1060">
        <v>20150203</v>
      </c>
      <c r="X1060" t="s">
        <v>246</v>
      </c>
      <c r="Y1060" t="s">
        <v>701</v>
      </c>
      <c r="Z1060" t="s">
        <v>701</v>
      </c>
      <c r="AA1060">
        <v>0</v>
      </c>
      <c r="AB1060" t="s">
        <v>142</v>
      </c>
      <c r="AC1060" t="s">
        <v>41</v>
      </c>
      <c r="AD1060" t="s">
        <v>40</v>
      </c>
      <c r="AE1060" t="str">
        <f t="shared" si="304"/>
        <v>02</v>
      </c>
      <c r="AF1060" t="s">
        <v>40</v>
      </c>
    </row>
    <row r="1061" spans="1:32" x14ac:dyDescent="0.25">
      <c r="A1061">
        <v>5</v>
      </c>
      <c r="B1061">
        <v>420</v>
      </c>
      <c r="C1061" t="str">
        <f>"51"</f>
        <v>51</v>
      </c>
      <c r="D1061">
        <v>6259</v>
      </c>
      <c r="E1061" t="str">
        <f>"55"</f>
        <v>55</v>
      </c>
      <c r="F1061" t="str">
        <f>"999"</f>
        <v>999</v>
      </c>
      <c r="G1061">
        <v>5</v>
      </c>
      <c r="H1061" t="str">
        <f>"99"</f>
        <v>99</v>
      </c>
      <c r="I1061" t="str">
        <f t="shared" si="294"/>
        <v>0</v>
      </c>
      <c r="J1061" t="str">
        <f t="shared" si="293"/>
        <v>00</v>
      </c>
      <c r="K1061">
        <v>20150205</v>
      </c>
      <c r="L1061" t="str">
        <f>"014774"</f>
        <v>014774</v>
      </c>
      <c r="M1061" t="str">
        <f>"00306"</f>
        <v>00306</v>
      </c>
      <c r="N1061" t="s">
        <v>245</v>
      </c>
      <c r="O1061">
        <v>80.27</v>
      </c>
      <c r="Q1061" t="s">
        <v>33</v>
      </c>
      <c r="R1061" t="s">
        <v>34</v>
      </c>
      <c r="S1061" t="s">
        <v>35</v>
      </c>
      <c r="T1061" t="s">
        <v>35</v>
      </c>
      <c r="U1061" t="s">
        <v>34</v>
      </c>
      <c r="V1061" t="str">
        <f>""</f>
        <v/>
      </c>
      <c r="W1061">
        <v>20150203</v>
      </c>
      <c r="X1061" t="s">
        <v>243</v>
      </c>
      <c r="Y1061" t="s">
        <v>244</v>
      </c>
      <c r="Z1061" t="s">
        <v>244</v>
      </c>
      <c r="AA1061">
        <v>0</v>
      </c>
      <c r="AB1061" t="s">
        <v>142</v>
      </c>
      <c r="AC1061" t="s">
        <v>143</v>
      </c>
      <c r="AD1061" t="s">
        <v>40</v>
      </c>
      <c r="AE1061" t="str">
        <f t="shared" si="304"/>
        <v>02</v>
      </c>
      <c r="AF1061" t="s">
        <v>40</v>
      </c>
    </row>
    <row r="1062" spans="1:32" x14ac:dyDescent="0.25">
      <c r="A1062">
        <v>5</v>
      </c>
      <c r="B1062">
        <v>420</v>
      </c>
      <c r="C1062" t="str">
        <f>"51"</f>
        <v>51</v>
      </c>
      <c r="D1062">
        <v>6259</v>
      </c>
      <c r="E1062" t="str">
        <f>"55"</f>
        <v>55</v>
      </c>
      <c r="F1062" t="str">
        <f>"999"</f>
        <v>999</v>
      </c>
      <c r="G1062">
        <v>5</v>
      </c>
      <c r="H1062" t="str">
        <f>"99"</f>
        <v>99</v>
      </c>
      <c r="I1062" t="str">
        <f t="shared" si="294"/>
        <v>0</v>
      </c>
      <c r="J1062" t="str">
        <f t="shared" si="293"/>
        <v>00</v>
      </c>
      <c r="K1062">
        <v>20150205</v>
      </c>
      <c r="L1062" t="str">
        <f>"014774"</f>
        <v>014774</v>
      </c>
      <c r="M1062" t="str">
        <f>"00306"</f>
        <v>00306</v>
      </c>
      <c r="N1062" t="s">
        <v>245</v>
      </c>
      <c r="O1062">
        <v>51</v>
      </c>
      <c r="Q1062" t="s">
        <v>33</v>
      </c>
      <c r="R1062" t="s">
        <v>34</v>
      </c>
      <c r="S1062" t="s">
        <v>35</v>
      </c>
      <c r="T1062" t="s">
        <v>35</v>
      </c>
      <c r="U1062" t="s">
        <v>34</v>
      </c>
      <c r="V1062" t="str">
        <f>""</f>
        <v/>
      </c>
      <c r="W1062">
        <v>20150203</v>
      </c>
      <c r="X1062" t="s">
        <v>243</v>
      </c>
      <c r="Y1062" t="s">
        <v>244</v>
      </c>
      <c r="Z1062" t="s">
        <v>244</v>
      </c>
      <c r="AA1062">
        <v>0</v>
      </c>
      <c r="AB1062" t="s">
        <v>142</v>
      </c>
      <c r="AC1062" t="s">
        <v>143</v>
      </c>
      <c r="AD1062" t="s">
        <v>40</v>
      </c>
      <c r="AE1062" t="str">
        <f t="shared" si="304"/>
        <v>02</v>
      </c>
      <c r="AF1062" t="s">
        <v>40</v>
      </c>
    </row>
    <row r="1063" spans="1:32" x14ac:dyDescent="0.25">
      <c r="A1063">
        <v>5</v>
      </c>
      <c r="B1063">
        <v>420</v>
      </c>
      <c r="C1063" t="str">
        <f>"51"</f>
        <v>51</v>
      </c>
      <c r="D1063">
        <v>6259</v>
      </c>
      <c r="E1063" t="str">
        <f>"55"</f>
        <v>55</v>
      </c>
      <c r="F1063" t="str">
        <f>"999"</f>
        <v>999</v>
      </c>
      <c r="G1063">
        <v>5</v>
      </c>
      <c r="H1063" t="str">
        <f>"99"</f>
        <v>99</v>
      </c>
      <c r="I1063" t="str">
        <f t="shared" si="294"/>
        <v>0</v>
      </c>
      <c r="J1063" t="str">
        <f t="shared" si="293"/>
        <v>00</v>
      </c>
      <c r="K1063">
        <v>20150205</v>
      </c>
      <c r="L1063" t="str">
        <f>"014774"</f>
        <v>014774</v>
      </c>
      <c r="M1063" t="str">
        <f>"00306"</f>
        <v>00306</v>
      </c>
      <c r="N1063" t="s">
        <v>245</v>
      </c>
      <c r="O1063">
        <v>128.16999999999999</v>
      </c>
      <c r="Q1063" t="s">
        <v>33</v>
      </c>
      <c r="R1063" t="s">
        <v>34</v>
      </c>
      <c r="S1063" t="s">
        <v>35</v>
      </c>
      <c r="T1063" t="s">
        <v>35</v>
      </c>
      <c r="U1063" t="s">
        <v>34</v>
      </c>
      <c r="V1063" t="str">
        <f>""</f>
        <v/>
      </c>
      <c r="W1063">
        <v>20150203</v>
      </c>
      <c r="X1063" t="s">
        <v>243</v>
      </c>
      <c r="Y1063" t="s">
        <v>244</v>
      </c>
      <c r="Z1063" t="s">
        <v>244</v>
      </c>
      <c r="AA1063">
        <v>0</v>
      </c>
      <c r="AB1063" t="s">
        <v>142</v>
      </c>
      <c r="AC1063" t="s">
        <v>143</v>
      </c>
      <c r="AD1063" t="s">
        <v>40</v>
      </c>
      <c r="AE1063" t="str">
        <f t="shared" si="304"/>
        <v>02</v>
      </c>
      <c r="AF1063" t="s">
        <v>40</v>
      </c>
    </row>
    <row r="1064" spans="1:32" x14ac:dyDescent="0.25">
      <c r="A1064">
        <v>5</v>
      </c>
      <c r="B1064">
        <v>211</v>
      </c>
      <c r="C1064" t="str">
        <f>"11"</f>
        <v>11</v>
      </c>
      <c r="D1064">
        <v>6399</v>
      </c>
      <c r="E1064" t="str">
        <f t="shared" ref="E1064:E1098" si="305">"00"</f>
        <v>00</v>
      </c>
      <c r="F1064" t="str">
        <f>"101"</f>
        <v>101</v>
      </c>
      <c r="G1064">
        <v>5</v>
      </c>
      <c r="H1064" t="str">
        <f>"30"</f>
        <v>30</v>
      </c>
      <c r="I1064" t="str">
        <f t="shared" si="294"/>
        <v>0</v>
      </c>
      <c r="J1064" t="str">
        <f t="shared" si="293"/>
        <v>00</v>
      </c>
      <c r="K1064">
        <v>20150205</v>
      </c>
      <c r="L1064" t="str">
        <f>"014775"</f>
        <v>014775</v>
      </c>
      <c r="M1064" t="str">
        <f>"00310"</f>
        <v>00310</v>
      </c>
      <c r="N1064" t="s">
        <v>589</v>
      </c>
      <c r="O1064">
        <v>691.38</v>
      </c>
      <c r="Q1064" t="s">
        <v>33</v>
      </c>
      <c r="R1064" t="s">
        <v>34</v>
      </c>
      <c r="S1064" t="s">
        <v>35</v>
      </c>
      <c r="T1064" t="s">
        <v>35</v>
      </c>
      <c r="U1064" t="s">
        <v>34</v>
      </c>
      <c r="V1064" t="str">
        <f>""</f>
        <v/>
      </c>
      <c r="W1064">
        <v>20150203</v>
      </c>
      <c r="X1064" t="s">
        <v>422</v>
      </c>
      <c r="Y1064" t="s">
        <v>702</v>
      </c>
      <c r="Z1064" t="s">
        <v>702</v>
      </c>
      <c r="AA1064">
        <v>0</v>
      </c>
      <c r="AB1064" t="s">
        <v>174</v>
      </c>
      <c r="AC1064" t="s">
        <v>41</v>
      </c>
      <c r="AD1064" t="s">
        <v>40</v>
      </c>
      <c r="AE1064" t="str">
        <f t="shared" si="304"/>
        <v>02</v>
      </c>
      <c r="AF1064" t="s">
        <v>40</v>
      </c>
    </row>
    <row r="1065" spans="1:32" x14ac:dyDescent="0.25">
      <c r="A1065">
        <v>5</v>
      </c>
      <c r="B1065">
        <v>211</v>
      </c>
      <c r="C1065" t="str">
        <f>"11"</f>
        <v>11</v>
      </c>
      <c r="D1065">
        <v>6399</v>
      </c>
      <c r="E1065" t="str">
        <f t="shared" si="305"/>
        <v>00</v>
      </c>
      <c r="F1065" t="str">
        <f>"101"</f>
        <v>101</v>
      </c>
      <c r="G1065">
        <v>5</v>
      </c>
      <c r="H1065" t="str">
        <f>"30"</f>
        <v>30</v>
      </c>
      <c r="I1065" t="str">
        <f t="shared" si="294"/>
        <v>0</v>
      </c>
      <c r="J1065" t="str">
        <f t="shared" si="293"/>
        <v>00</v>
      </c>
      <c r="K1065">
        <v>20150205</v>
      </c>
      <c r="L1065" t="str">
        <f>"014775"</f>
        <v>014775</v>
      </c>
      <c r="M1065" t="str">
        <f>"00310"</f>
        <v>00310</v>
      </c>
      <c r="N1065" t="s">
        <v>589</v>
      </c>
      <c r="O1065">
        <v>623.64</v>
      </c>
      <c r="Q1065" t="s">
        <v>33</v>
      </c>
      <c r="R1065" t="s">
        <v>34</v>
      </c>
      <c r="S1065" t="s">
        <v>35</v>
      </c>
      <c r="T1065" t="s">
        <v>35</v>
      </c>
      <c r="U1065" t="s">
        <v>34</v>
      </c>
      <c r="V1065" t="str">
        <f>""</f>
        <v/>
      </c>
      <c r="W1065">
        <v>20150203</v>
      </c>
      <c r="X1065" t="s">
        <v>422</v>
      </c>
      <c r="Y1065" t="s">
        <v>702</v>
      </c>
      <c r="Z1065" t="s">
        <v>702</v>
      </c>
      <c r="AA1065">
        <v>0</v>
      </c>
      <c r="AB1065" t="s">
        <v>174</v>
      </c>
      <c r="AC1065" t="s">
        <v>41</v>
      </c>
      <c r="AD1065" t="s">
        <v>40</v>
      </c>
      <c r="AE1065" t="str">
        <f t="shared" si="304"/>
        <v>02</v>
      </c>
      <c r="AF1065" t="s">
        <v>40</v>
      </c>
    </row>
    <row r="1066" spans="1:32" x14ac:dyDescent="0.25">
      <c r="A1066">
        <v>5</v>
      </c>
      <c r="B1066">
        <v>240</v>
      </c>
      <c r="C1066" t="str">
        <f t="shared" ref="C1066:C1071" si="306">"35"</f>
        <v>35</v>
      </c>
      <c r="D1066">
        <v>6341</v>
      </c>
      <c r="E1066" t="str">
        <f t="shared" si="305"/>
        <v>00</v>
      </c>
      <c r="F1066" t="str">
        <f t="shared" ref="F1066:F1071" si="307">"999"</f>
        <v>999</v>
      </c>
      <c r="G1066">
        <v>5</v>
      </c>
      <c r="H1066" t="str">
        <f t="shared" ref="H1066:H1071" si="308">"99"</f>
        <v>99</v>
      </c>
      <c r="I1066" t="str">
        <f t="shared" si="294"/>
        <v>0</v>
      </c>
      <c r="J1066" t="str">
        <f t="shared" si="293"/>
        <v>00</v>
      </c>
      <c r="K1066">
        <v>20150205</v>
      </c>
      <c r="L1066" t="str">
        <f t="shared" ref="L1066:L1071" si="309">"014776"</f>
        <v>014776</v>
      </c>
      <c r="M1066" t="str">
        <f t="shared" ref="M1066:M1071" si="310">"00391"</f>
        <v>00391</v>
      </c>
      <c r="N1066" t="s">
        <v>265</v>
      </c>
      <c r="O1066">
        <v>48.4</v>
      </c>
      <c r="Q1066" t="s">
        <v>33</v>
      </c>
      <c r="R1066" t="s">
        <v>34</v>
      </c>
      <c r="S1066" t="s">
        <v>35</v>
      </c>
      <c r="T1066" t="s">
        <v>35</v>
      </c>
      <c r="U1066" t="s">
        <v>34</v>
      </c>
      <c r="V1066" t="str">
        <f>""</f>
        <v/>
      </c>
      <c r="W1066">
        <v>20150203</v>
      </c>
      <c r="X1066" t="s">
        <v>268</v>
      </c>
      <c r="Y1066" t="s">
        <v>557</v>
      </c>
      <c r="Z1066" t="s">
        <v>557</v>
      </c>
      <c r="AA1066">
        <v>0</v>
      </c>
      <c r="AB1066" t="s">
        <v>238</v>
      </c>
      <c r="AC1066" t="s">
        <v>143</v>
      </c>
      <c r="AD1066" t="s">
        <v>40</v>
      </c>
      <c r="AE1066" t="str">
        <f t="shared" si="304"/>
        <v>02</v>
      </c>
      <c r="AF1066" t="s">
        <v>40</v>
      </c>
    </row>
    <row r="1067" spans="1:32" x14ac:dyDescent="0.25">
      <c r="A1067">
        <v>5</v>
      </c>
      <c r="B1067">
        <v>240</v>
      </c>
      <c r="C1067" t="str">
        <f t="shared" si="306"/>
        <v>35</v>
      </c>
      <c r="D1067">
        <v>6341</v>
      </c>
      <c r="E1067" t="str">
        <f t="shared" si="305"/>
        <v>00</v>
      </c>
      <c r="F1067" t="str">
        <f t="shared" si="307"/>
        <v>999</v>
      </c>
      <c r="G1067">
        <v>5</v>
      </c>
      <c r="H1067" t="str">
        <f t="shared" si="308"/>
        <v>99</v>
      </c>
      <c r="I1067" t="str">
        <f t="shared" si="294"/>
        <v>0</v>
      </c>
      <c r="J1067" t="str">
        <f t="shared" si="293"/>
        <v>00</v>
      </c>
      <c r="K1067">
        <v>20150205</v>
      </c>
      <c r="L1067" t="str">
        <f t="shared" si="309"/>
        <v>014776</v>
      </c>
      <c r="M1067" t="str">
        <f t="shared" si="310"/>
        <v>00391</v>
      </c>
      <c r="N1067" t="s">
        <v>265</v>
      </c>
      <c r="O1067">
        <v>26.06</v>
      </c>
      <c r="Q1067" t="s">
        <v>33</v>
      </c>
      <c r="R1067" t="s">
        <v>34</v>
      </c>
      <c r="S1067" t="s">
        <v>35</v>
      </c>
      <c r="T1067" t="s">
        <v>35</v>
      </c>
      <c r="U1067" t="s">
        <v>34</v>
      </c>
      <c r="V1067" t="str">
        <f>""</f>
        <v/>
      </c>
      <c r="W1067">
        <v>20150203</v>
      </c>
      <c r="X1067" t="s">
        <v>268</v>
      </c>
      <c r="Y1067" t="s">
        <v>557</v>
      </c>
      <c r="Z1067" t="s">
        <v>557</v>
      </c>
      <c r="AA1067">
        <v>0</v>
      </c>
      <c r="AB1067" t="s">
        <v>238</v>
      </c>
      <c r="AC1067" t="s">
        <v>143</v>
      </c>
      <c r="AD1067" t="s">
        <v>40</v>
      </c>
      <c r="AE1067" t="str">
        <f t="shared" si="304"/>
        <v>02</v>
      </c>
      <c r="AF1067" t="s">
        <v>40</v>
      </c>
    </row>
    <row r="1068" spans="1:32" x14ac:dyDescent="0.25">
      <c r="A1068">
        <v>5</v>
      </c>
      <c r="B1068">
        <v>240</v>
      </c>
      <c r="C1068" t="str">
        <f t="shared" si="306"/>
        <v>35</v>
      </c>
      <c r="D1068">
        <v>6341</v>
      </c>
      <c r="E1068" t="str">
        <f t="shared" si="305"/>
        <v>00</v>
      </c>
      <c r="F1068" t="str">
        <f t="shared" si="307"/>
        <v>999</v>
      </c>
      <c r="G1068">
        <v>5</v>
      </c>
      <c r="H1068" t="str">
        <f t="shared" si="308"/>
        <v>99</v>
      </c>
      <c r="I1068" t="str">
        <f t="shared" si="294"/>
        <v>0</v>
      </c>
      <c r="J1068" t="str">
        <f t="shared" si="293"/>
        <v>00</v>
      </c>
      <c r="K1068">
        <v>20150205</v>
      </c>
      <c r="L1068" t="str">
        <f t="shared" si="309"/>
        <v>014776</v>
      </c>
      <c r="M1068" t="str">
        <f t="shared" si="310"/>
        <v>00391</v>
      </c>
      <c r="N1068" t="s">
        <v>265</v>
      </c>
      <c r="O1068">
        <v>445.23</v>
      </c>
      <c r="Q1068" t="s">
        <v>33</v>
      </c>
      <c r="R1068" t="s">
        <v>34</v>
      </c>
      <c r="S1068" t="s">
        <v>35</v>
      </c>
      <c r="T1068" t="s">
        <v>35</v>
      </c>
      <c r="U1068" t="s">
        <v>34</v>
      </c>
      <c r="V1068" t="str">
        <f>""</f>
        <v/>
      </c>
      <c r="W1068">
        <v>20150203</v>
      </c>
      <c r="X1068" t="s">
        <v>268</v>
      </c>
      <c r="Y1068" t="s">
        <v>557</v>
      </c>
      <c r="Z1068" t="s">
        <v>557</v>
      </c>
      <c r="AA1068">
        <v>0</v>
      </c>
      <c r="AB1068" t="s">
        <v>238</v>
      </c>
      <c r="AC1068" t="s">
        <v>143</v>
      </c>
      <c r="AD1068" t="s">
        <v>40</v>
      </c>
      <c r="AE1068" t="str">
        <f t="shared" si="304"/>
        <v>02</v>
      </c>
      <c r="AF1068" t="s">
        <v>40</v>
      </c>
    </row>
    <row r="1069" spans="1:32" x14ac:dyDescent="0.25">
      <c r="A1069">
        <v>5</v>
      </c>
      <c r="B1069">
        <v>240</v>
      </c>
      <c r="C1069" t="str">
        <f t="shared" si="306"/>
        <v>35</v>
      </c>
      <c r="D1069">
        <v>6341</v>
      </c>
      <c r="E1069" t="str">
        <f t="shared" si="305"/>
        <v>00</v>
      </c>
      <c r="F1069" t="str">
        <f t="shared" si="307"/>
        <v>999</v>
      </c>
      <c r="G1069">
        <v>5</v>
      </c>
      <c r="H1069" t="str">
        <f t="shared" si="308"/>
        <v>99</v>
      </c>
      <c r="I1069" t="str">
        <f t="shared" si="294"/>
        <v>0</v>
      </c>
      <c r="J1069" t="str">
        <f t="shared" si="293"/>
        <v>00</v>
      </c>
      <c r="K1069">
        <v>20150205</v>
      </c>
      <c r="L1069" t="str">
        <f t="shared" si="309"/>
        <v>014776</v>
      </c>
      <c r="M1069" t="str">
        <f t="shared" si="310"/>
        <v>00391</v>
      </c>
      <c r="N1069" t="s">
        <v>265</v>
      </c>
      <c r="O1069" s="1">
        <v>3488.66</v>
      </c>
      <c r="Q1069" t="s">
        <v>33</v>
      </c>
      <c r="R1069" t="s">
        <v>34</v>
      </c>
      <c r="S1069" t="s">
        <v>35</v>
      </c>
      <c r="T1069" t="s">
        <v>35</v>
      </c>
      <c r="U1069" t="s">
        <v>34</v>
      </c>
      <c r="V1069" t="str">
        <f>""</f>
        <v/>
      </c>
      <c r="W1069">
        <v>20150203</v>
      </c>
      <c r="X1069" t="s">
        <v>268</v>
      </c>
      <c r="Y1069" t="s">
        <v>557</v>
      </c>
      <c r="Z1069" t="s">
        <v>557</v>
      </c>
      <c r="AA1069">
        <v>0</v>
      </c>
      <c r="AB1069" t="s">
        <v>238</v>
      </c>
      <c r="AC1069" t="s">
        <v>143</v>
      </c>
      <c r="AD1069" t="s">
        <v>40</v>
      </c>
      <c r="AE1069" t="str">
        <f t="shared" si="304"/>
        <v>02</v>
      </c>
      <c r="AF1069" t="s">
        <v>40</v>
      </c>
    </row>
    <row r="1070" spans="1:32" x14ac:dyDescent="0.25">
      <c r="A1070">
        <v>5</v>
      </c>
      <c r="B1070">
        <v>240</v>
      </c>
      <c r="C1070" t="str">
        <f t="shared" si="306"/>
        <v>35</v>
      </c>
      <c r="D1070">
        <v>6342</v>
      </c>
      <c r="E1070" t="str">
        <f t="shared" si="305"/>
        <v>00</v>
      </c>
      <c r="F1070" t="str">
        <f t="shared" si="307"/>
        <v>999</v>
      </c>
      <c r="G1070">
        <v>5</v>
      </c>
      <c r="H1070" t="str">
        <f t="shared" si="308"/>
        <v>99</v>
      </c>
      <c r="I1070" t="str">
        <f t="shared" si="294"/>
        <v>0</v>
      </c>
      <c r="J1070" t="str">
        <f t="shared" si="293"/>
        <v>00</v>
      </c>
      <c r="K1070">
        <v>20150205</v>
      </c>
      <c r="L1070" t="str">
        <f t="shared" si="309"/>
        <v>014776</v>
      </c>
      <c r="M1070" t="str">
        <f t="shared" si="310"/>
        <v>00391</v>
      </c>
      <c r="N1070" t="s">
        <v>265</v>
      </c>
      <c r="O1070">
        <v>20.73</v>
      </c>
      <c r="Q1070" t="s">
        <v>33</v>
      </c>
      <c r="R1070" t="s">
        <v>34</v>
      </c>
      <c r="S1070" t="s">
        <v>35</v>
      </c>
      <c r="T1070" t="s">
        <v>35</v>
      </c>
      <c r="U1070" t="s">
        <v>34</v>
      </c>
      <c r="V1070" t="str">
        <f>""</f>
        <v/>
      </c>
      <c r="W1070">
        <v>20150203</v>
      </c>
      <c r="X1070" t="s">
        <v>269</v>
      </c>
      <c r="Y1070" t="s">
        <v>557</v>
      </c>
      <c r="Z1070" t="s">
        <v>557</v>
      </c>
      <c r="AA1070">
        <v>0</v>
      </c>
      <c r="AB1070" t="s">
        <v>238</v>
      </c>
      <c r="AC1070" t="s">
        <v>143</v>
      </c>
      <c r="AD1070" t="s">
        <v>40</v>
      </c>
      <c r="AE1070" t="str">
        <f t="shared" si="304"/>
        <v>02</v>
      </c>
      <c r="AF1070" t="s">
        <v>40</v>
      </c>
    </row>
    <row r="1071" spans="1:32" x14ac:dyDescent="0.25">
      <c r="A1071">
        <v>5</v>
      </c>
      <c r="B1071">
        <v>240</v>
      </c>
      <c r="C1071" t="str">
        <f t="shared" si="306"/>
        <v>35</v>
      </c>
      <c r="D1071">
        <v>6342</v>
      </c>
      <c r="E1071" t="str">
        <f t="shared" si="305"/>
        <v>00</v>
      </c>
      <c r="F1071" t="str">
        <f t="shared" si="307"/>
        <v>999</v>
      </c>
      <c r="G1071">
        <v>5</v>
      </c>
      <c r="H1071" t="str">
        <f t="shared" si="308"/>
        <v>99</v>
      </c>
      <c r="I1071" t="str">
        <f t="shared" si="294"/>
        <v>0</v>
      </c>
      <c r="J1071" t="str">
        <f t="shared" si="293"/>
        <v>00</v>
      </c>
      <c r="K1071">
        <v>20150205</v>
      </c>
      <c r="L1071" t="str">
        <f t="shared" si="309"/>
        <v>014776</v>
      </c>
      <c r="M1071" t="str">
        <f t="shared" si="310"/>
        <v>00391</v>
      </c>
      <c r="N1071" t="s">
        <v>265</v>
      </c>
      <c r="O1071">
        <v>314.7</v>
      </c>
      <c r="Q1071" t="s">
        <v>33</v>
      </c>
      <c r="R1071" t="s">
        <v>34</v>
      </c>
      <c r="S1071" t="s">
        <v>35</v>
      </c>
      <c r="T1071" t="s">
        <v>35</v>
      </c>
      <c r="U1071" t="s">
        <v>34</v>
      </c>
      <c r="V1071" t="str">
        <f>""</f>
        <v/>
      </c>
      <c r="W1071">
        <v>20150203</v>
      </c>
      <c r="X1071" t="s">
        <v>269</v>
      </c>
      <c r="Y1071" t="s">
        <v>557</v>
      </c>
      <c r="Z1071" t="s">
        <v>557</v>
      </c>
      <c r="AA1071">
        <v>0</v>
      </c>
      <c r="AB1071" t="s">
        <v>238</v>
      </c>
      <c r="AC1071" t="s">
        <v>143</v>
      </c>
      <c r="AD1071" t="s">
        <v>40</v>
      </c>
      <c r="AE1071" t="str">
        <f t="shared" si="304"/>
        <v>02</v>
      </c>
      <c r="AF1071" t="s">
        <v>40</v>
      </c>
    </row>
    <row r="1072" spans="1:32" x14ac:dyDescent="0.25">
      <c r="A1072">
        <v>5</v>
      </c>
      <c r="B1072">
        <v>420</v>
      </c>
      <c r="C1072" t="str">
        <f>"36"</f>
        <v>36</v>
      </c>
      <c r="D1072">
        <v>6399</v>
      </c>
      <c r="E1072" t="str">
        <f t="shared" si="305"/>
        <v>00</v>
      </c>
      <c r="F1072" t="str">
        <f>"001"</f>
        <v>001</v>
      </c>
      <c r="G1072">
        <v>5</v>
      </c>
      <c r="H1072" t="str">
        <f>"91"</f>
        <v>91</v>
      </c>
      <c r="I1072" t="str">
        <f t="shared" si="294"/>
        <v>0</v>
      </c>
      <c r="J1072" t="str">
        <f t="shared" si="293"/>
        <v>00</v>
      </c>
      <c r="K1072">
        <v>20150205</v>
      </c>
      <c r="L1072" t="str">
        <f>"014777"</f>
        <v>014777</v>
      </c>
      <c r="M1072" t="str">
        <f>"00339"</f>
        <v>00339</v>
      </c>
      <c r="N1072" t="s">
        <v>703</v>
      </c>
      <c r="O1072" s="1">
        <v>2067.7399999999998</v>
      </c>
      <c r="Q1072" t="s">
        <v>33</v>
      </c>
      <c r="R1072" t="s">
        <v>34</v>
      </c>
      <c r="S1072" t="s">
        <v>35</v>
      </c>
      <c r="T1072" t="s">
        <v>35</v>
      </c>
      <c r="U1072" t="s">
        <v>34</v>
      </c>
      <c r="V1072" t="str">
        <f>""</f>
        <v/>
      </c>
      <c r="W1072">
        <v>20150203</v>
      </c>
      <c r="X1072" t="s">
        <v>599</v>
      </c>
      <c r="Y1072" t="s">
        <v>704</v>
      </c>
      <c r="Z1072" t="s">
        <v>704</v>
      </c>
      <c r="AA1072">
        <v>0</v>
      </c>
      <c r="AB1072" t="s">
        <v>142</v>
      </c>
      <c r="AC1072" t="s">
        <v>41</v>
      </c>
      <c r="AD1072" t="s">
        <v>40</v>
      </c>
      <c r="AE1072" t="str">
        <f t="shared" si="304"/>
        <v>02</v>
      </c>
      <c r="AF1072" t="s">
        <v>40</v>
      </c>
    </row>
    <row r="1073" spans="1:32" x14ac:dyDescent="0.25">
      <c r="A1073">
        <v>5</v>
      </c>
      <c r="B1073">
        <v>420</v>
      </c>
      <c r="C1073" t="str">
        <f>"36"</f>
        <v>36</v>
      </c>
      <c r="D1073">
        <v>6399</v>
      </c>
      <c r="E1073" t="str">
        <f t="shared" si="305"/>
        <v>00</v>
      </c>
      <c r="F1073" t="str">
        <f>"001"</f>
        <v>001</v>
      </c>
      <c r="G1073">
        <v>5</v>
      </c>
      <c r="H1073" t="str">
        <f>"91"</f>
        <v>91</v>
      </c>
      <c r="I1073" t="str">
        <f t="shared" si="294"/>
        <v>0</v>
      </c>
      <c r="J1073" t="str">
        <f t="shared" si="293"/>
        <v>00</v>
      </c>
      <c r="K1073">
        <v>20150205</v>
      </c>
      <c r="L1073" t="str">
        <f>"014777"</f>
        <v>014777</v>
      </c>
      <c r="M1073" t="str">
        <f>"00339"</f>
        <v>00339</v>
      </c>
      <c r="N1073" t="s">
        <v>703</v>
      </c>
      <c r="O1073">
        <v>108</v>
      </c>
      <c r="Q1073" t="s">
        <v>33</v>
      </c>
      <c r="R1073" t="s">
        <v>34</v>
      </c>
      <c r="S1073" t="s">
        <v>35</v>
      </c>
      <c r="T1073" t="s">
        <v>35</v>
      </c>
      <c r="U1073" t="s">
        <v>34</v>
      </c>
      <c r="V1073" t="str">
        <f>""</f>
        <v/>
      </c>
      <c r="W1073">
        <v>20150203</v>
      </c>
      <c r="X1073" t="s">
        <v>599</v>
      </c>
      <c r="Y1073" t="s">
        <v>704</v>
      </c>
      <c r="Z1073" t="s">
        <v>704</v>
      </c>
      <c r="AA1073">
        <v>0</v>
      </c>
      <c r="AB1073" t="s">
        <v>142</v>
      </c>
      <c r="AC1073" t="s">
        <v>41</v>
      </c>
      <c r="AD1073" t="s">
        <v>40</v>
      </c>
      <c r="AE1073" t="str">
        <f t="shared" si="304"/>
        <v>02</v>
      </c>
      <c r="AF1073" t="s">
        <v>40</v>
      </c>
    </row>
    <row r="1074" spans="1:32" x14ac:dyDescent="0.25">
      <c r="A1074">
        <v>5</v>
      </c>
      <c r="B1074">
        <v>420</v>
      </c>
      <c r="C1074" t="str">
        <f>"51"</f>
        <v>51</v>
      </c>
      <c r="D1074">
        <v>6299</v>
      </c>
      <c r="E1074" t="str">
        <f t="shared" si="305"/>
        <v>00</v>
      </c>
      <c r="F1074" t="str">
        <f t="shared" ref="F1074:F1087" si="311">"999"</f>
        <v>999</v>
      </c>
      <c r="G1074">
        <v>5</v>
      </c>
      <c r="H1074" t="str">
        <f>"99"</f>
        <v>99</v>
      </c>
      <c r="I1074" t="str">
        <f t="shared" si="294"/>
        <v>0</v>
      </c>
      <c r="J1074" t="str">
        <f t="shared" si="293"/>
        <v>00</v>
      </c>
      <c r="K1074">
        <v>20150205</v>
      </c>
      <c r="L1074" t="str">
        <f>"014778"</f>
        <v>014778</v>
      </c>
      <c r="M1074" t="str">
        <f>"00577"</f>
        <v>00577</v>
      </c>
      <c r="N1074" t="s">
        <v>251</v>
      </c>
      <c r="O1074">
        <v>39.04</v>
      </c>
      <c r="Q1074" t="s">
        <v>33</v>
      </c>
      <c r="R1074" t="s">
        <v>34</v>
      </c>
      <c r="S1074" t="s">
        <v>35</v>
      </c>
      <c r="T1074" t="s">
        <v>35</v>
      </c>
      <c r="U1074" t="s">
        <v>34</v>
      </c>
      <c r="V1074" t="str">
        <f>""</f>
        <v/>
      </c>
      <c r="W1074">
        <v>20150203</v>
      </c>
      <c r="X1074" t="s">
        <v>203</v>
      </c>
      <c r="Y1074" t="s">
        <v>253</v>
      </c>
      <c r="Z1074" t="s">
        <v>253</v>
      </c>
      <c r="AA1074">
        <v>0</v>
      </c>
      <c r="AB1074" t="s">
        <v>142</v>
      </c>
      <c r="AC1074" t="s">
        <v>143</v>
      </c>
      <c r="AD1074" t="s">
        <v>40</v>
      </c>
      <c r="AE1074" t="str">
        <f t="shared" si="304"/>
        <v>02</v>
      </c>
      <c r="AF1074" t="s">
        <v>40</v>
      </c>
    </row>
    <row r="1075" spans="1:32" x14ac:dyDescent="0.25">
      <c r="A1075">
        <v>5</v>
      </c>
      <c r="B1075">
        <v>420</v>
      </c>
      <c r="C1075" t="str">
        <f>"11"</f>
        <v>11</v>
      </c>
      <c r="D1075">
        <v>6269</v>
      </c>
      <c r="E1075" t="str">
        <f t="shared" si="305"/>
        <v>00</v>
      </c>
      <c r="F1075" t="str">
        <f t="shared" si="311"/>
        <v>999</v>
      </c>
      <c r="G1075">
        <v>5</v>
      </c>
      <c r="H1075" t="str">
        <f>"11"</f>
        <v>11</v>
      </c>
      <c r="I1075" t="str">
        <f t="shared" si="294"/>
        <v>0</v>
      </c>
      <c r="J1075" t="str">
        <f t="shared" si="293"/>
        <v>00</v>
      </c>
      <c r="K1075">
        <v>20150212</v>
      </c>
      <c r="L1075" t="str">
        <f>"014779"</f>
        <v>014779</v>
      </c>
      <c r="M1075" t="str">
        <f>"00628"</f>
        <v>00628</v>
      </c>
      <c r="N1075" t="s">
        <v>212</v>
      </c>
      <c r="O1075">
        <v>394</v>
      </c>
      <c r="Q1075" t="s">
        <v>33</v>
      </c>
      <c r="R1075" t="s">
        <v>34</v>
      </c>
      <c r="S1075" t="s">
        <v>35</v>
      </c>
      <c r="T1075" t="s">
        <v>35</v>
      </c>
      <c r="U1075" t="s">
        <v>34</v>
      </c>
      <c r="V1075" t="str">
        <f>""</f>
        <v/>
      </c>
      <c r="W1075">
        <v>20150209</v>
      </c>
      <c r="X1075" t="s">
        <v>213</v>
      </c>
      <c r="Y1075" t="s">
        <v>214</v>
      </c>
      <c r="Z1075" t="s">
        <v>214</v>
      </c>
      <c r="AA1075">
        <v>0</v>
      </c>
      <c r="AB1075" t="s">
        <v>142</v>
      </c>
      <c r="AC1075" t="s">
        <v>143</v>
      </c>
      <c r="AD1075" t="s">
        <v>40</v>
      </c>
      <c r="AE1075" t="str">
        <f t="shared" si="304"/>
        <v>02</v>
      </c>
      <c r="AF1075" t="s">
        <v>40</v>
      </c>
    </row>
    <row r="1076" spans="1:32" x14ac:dyDescent="0.25">
      <c r="A1076">
        <v>5</v>
      </c>
      <c r="B1076">
        <v>420</v>
      </c>
      <c r="C1076" t="str">
        <f>"33"</f>
        <v>33</v>
      </c>
      <c r="D1076">
        <v>6219</v>
      </c>
      <c r="E1076" t="str">
        <f t="shared" si="305"/>
        <v>00</v>
      </c>
      <c r="F1076" t="str">
        <f t="shared" si="311"/>
        <v>999</v>
      </c>
      <c r="G1076">
        <v>5</v>
      </c>
      <c r="H1076" t="str">
        <f t="shared" ref="H1076:H1087" si="312">"99"</f>
        <v>99</v>
      </c>
      <c r="I1076" t="str">
        <f t="shared" si="294"/>
        <v>0</v>
      </c>
      <c r="J1076" t="str">
        <f t="shared" si="293"/>
        <v>00</v>
      </c>
      <c r="K1076">
        <v>20150212</v>
      </c>
      <c r="L1076" t="str">
        <f>"014780"</f>
        <v>014780</v>
      </c>
      <c r="M1076" t="str">
        <f>"00034"</f>
        <v>00034</v>
      </c>
      <c r="N1076" t="s">
        <v>705</v>
      </c>
      <c r="O1076">
        <v>99</v>
      </c>
      <c r="Q1076" t="s">
        <v>33</v>
      </c>
      <c r="R1076" t="s">
        <v>34</v>
      </c>
      <c r="S1076" t="s">
        <v>35</v>
      </c>
      <c r="T1076" t="s">
        <v>35</v>
      </c>
      <c r="U1076" t="s">
        <v>34</v>
      </c>
      <c r="V1076" t="str">
        <f>""</f>
        <v/>
      </c>
      <c r="W1076">
        <v>20150209</v>
      </c>
      <c r="X1076" t="s">
        <v>233</v>
      </c>
      <c r="Y1076" t="s">
        <v>706</v>
      </c>
      <c r="Z1076" t="s">
        <v>706</v>
      </c>
      <c r="AA1076">
        <v>0</v>
      </c>
      <c r="AB1076" t="s">
        <v>142</v>
      </c>
      <c r="AC1076" t="s">
        <v>143</v>
      </c>
      <c r="AD1076" t="s">
        <v>40</v>
      </c>
      <c r="AE1076" t="str">
        <f t="shared" si="304"/>
        <v>02</v>
      </c>
      <c r="AF1076" t="s">
        <v>40</v>
      </c>
    </row>
    <row r="1077" spans="1:32" x14ac:dyDescent="0.25">
      <c r="A1077">
        <v>5</v>
      </c>
      <c r="B1077">
        <v>420</v>
      </c>
      <c r="C1077" t="str">
        <f>"52"</f>
        <v>52</v>
      </c>
      <c r="D1077">
        <v>6219</v>
      </c>
      <c r="E1077" t="str">
        <f t="shared" si="305"/>
        <v>00</v>
      </c>
      <c r="F1077" t="str">
        <f t="shared" si="311"/>
        <v>999</v>
      </c>
      <c r="G1077">
        <v>5</v>
      </c>
      <c r="H1077" t="str">
        <f t="shared" si="312"/>
        <v>99</v>
      </c>
      <c r="I1077" t="str">
        <f t="shared" si="294"/>
        <v>0</v>
      </c>
      <c r="J1077" t="str">
        <f t="shared" si="293"/>
        <v>00</v>
      </c>
      <c r="K1077">
        <v>20150212</v>
      </c>
      <c r="L1077" t="str">
        <f>"014781"</f>
        <v>014781</v>
      </c>
      <c r="M1077" t="str">
        <f>"00392"</f>
        <v>00392</v>
      </c>
      <c r="N1077" t="s">
        <v>218</v>
      </c>
      <c r="O1077">
        <v>35.950000000000003</v>
      </c>
      <c r="Q1077" t="s">
        <v>33</v>
      </c>
      <c r="R1077" t="s">
        <v>34</v>
      </c>
      <c r="S1077" t="s">
        <v>35</v>
      </c>
      <c r="T1077" t="s">
        <v>35</v>
      </c>
      <c r="U1077" t="s">
        <v>34</v>
      </c>
      <c r="V1077" t="str">
        <f>""</f>
        <v/>
      </c>
      <c r="W1077">
        <v>20150210</v>
      </c>
      <c r="X1077" t="s">
        <v>208</v>
      </c>
      <c r="Y1077" t="s">
        <v>616</v>
      </c>
      <c r="Z1077" t="s">
        <v>616</v>
      </c>
      <c r="AA1077">
        <v>0</v>
      </c>
      <c r="AB1077" t="s">
        <v>142</v>
      </c>
      <c r="AC1077" t="s">
        <v>143</v>
      </c>
      <c r="AD1077" t="s">
        <v>40</v>
      </c>
      <c r="AE1077" t="str">
        <f t="shared" si="304"/>
        <v>02</v>
      </c>
      <c r="AF1077" t="s">
        <v>40</v>
      </c>
    </row>
    <row r="1078" spans="1:32" x14ac:dyDescent="0.25">
      <c r="A1078">
        <v>5</v>
      </c>
      <c r="B1078">
        <v>420</v>
      </c>
      <c r="C1078" t="str">
        <f t="shared" ref="C1078:C1087" si="313">"51"</f>
        <v>51</v>
      </c>
      <c r="D1078">
        <v>6219</v>
      </c>
      <c r="E1078" t="str">
        <f t="shared" si="305"/>
        <v>00</v>
      </c>
      <c r="F1078" t="str">
        <f t="shared" si="311"/>
        <v>999</v>
      </c>
      <c r="G1078">
        <v>5</v>
      </c>
      <c r="H1078" t="str">
        <f t="shared" si="312"/>
        <v>99</v>
      </c>
      <c r="I1078" t="str">
        <f t="shared" si="294"/>
        <v>0</v>
      </c>
      <c r="J1078" t="str">
        <f t="shared" si="293"/>
        <v>00</v>
      </c>
      <c r="K1078">
        <v>20150212</v>
      </c>
      <c r="L1078" t="str">
        <f>"014782"</f>
        <v>014782</v>
      </c>
      <c r="M1078" t="str">
        <f>"00829"</f>
        <v>00829</v>
      </c>
      <c r="N1078" t="s">
        <v>707</v>
      </c>
      <c r="O1078">
        <v>227.5</v>
      </c>
      <c r="Q1078" t="s">
        <v>33</v>
      </c>
      <c r="R1078" t="s">
        <v>34</v>
      </c>
      <c r="S1078" t="s">
        <v>35</v>
      </c>
      <c r="T1078" t="s">
        <v>35</v>
      </c>
      <c r="U1078" t="s">
        <v>34</v>
      </c>
      <c r="V1078" t="str">
        <f>""</f>
        <v/>
      </c>
      <c r="W1078">
        <v>20150209</v>
      </c>
      <c r="X1078" t="s">
        <v>183</v>
      </c>
      <c r="Y1078" t="s">
        <v>708</v>
      </c>
      <c r="Z1078" t="s">
        <v>708</v>
      </c>
      <c r="AA1078">
        <v>0</v>
      </c>
      <c r="AB1078" t="s">
        <v>142</v>
      </c>
      <c r="AC1078" t="s">
        <v>143</v>
      </c>
      <c r="AD1078" t="s">
        <v>40</v>
      </c>
      <c r="AE1078" t="str">
        <f t="shared" si="304"/>
        <v>02</v>
      </c>
      <c r="AF1078" t="s">
        <v>40</v>
      </c>
    </row>
    <row r="1079" spans="1:32" x14ac:dyDescent="0.25">
      <c r="A1079">
        <v>5</v>
      </c>
      <c r="B1079">
        <v>420</v>
      </c>
      <c r="C1079" t="str">
        <f t="shared" si="313"/>
        <v>51</v>
      </c>
      <c r="D1079">
        <v>6319</v>
      </c>
      <c r="E1079" t="str">
        <f t="shared" si="305"/>
        <v>00</v>
      </c>
      <c r="F1079" t="str">
        <f t="shared" si="311"/>
        <v>999</v>
      </c>
      <c r="G1079">
        <v>5</v>
      </c>
      <c r="H1079" t="str">
        <f t="shared" si="312"/>
        <v>99</v>
      </c>
      <c r="I1079" t="str">
        <f t="shared" si="294"/>
        <v>0</v>
      </c>
      <c r="J1079" t="str">
        <f t="shared" si="293"/>
        <v>00</v>
      </c>
      <c r="K1079">
        <v>20150212</v>
      </c>
      <c r="L1079" t="str">
        <f>"014782"</f>
        <v>014782</v>
      </c>
      <c r="M1079" t="str">
        <f>"00829"</f>
        <v>00829</v>
      </c>
      <c r="N1079" t="s">
        <v>707</v>
      </c>
      <c r="O1079">
        <v>96</v>
      </c>
      <c r="Q1079" t="s">
        <v>33</v>
      </c>
      <c r="R1079" t="s">
        <v>34</v>
      </c>
      <c r="S1079" t="s">
        <v>35</v>
      </c>
      <c r="T1079" t="s">
        <v>35</v>
      </c>
      <c r="U1079" t="s">
        <v>34</v>
      </c>
      <c r="V1079" t="str">
        <f>""</f>
        <v/>
      </c>
      <c r="W1079">
        <v>20150209</v>
      </c>
      <c r="X1079" t="s">
        <v>185</v>
      </c>
      <c r="Y1079" t="s">
        <v>708</v>
      </c>
      <c r="Z1079" t="s">
        <v>708</v>
      </c>
      <c r="AA1079">
        <v>0</v>
      </c>
      <c r="AB1079" t="s">
        <v>142</v>
      </c>
      <c r="AC1079" t="s">
        <v>143</v>
      </c>
      <c r="AD1079" t="s">
        <v>40</v>
      </c>
      <c r="AE1079" t="str">
        <f t="shared" si="304"/>
        <v>02</v>
      </c>
      <c r="AF1079" t="s">
        <v>40</v>
      </c>
    </row>
    <row r="1080" spans="1:32" x14ac:dyDescent="0.25">
      <c r="A1080">
        <v>5</v>
      </c>
      <c r="B1080">
        <v>420</v>
      </c>
      <c r="C1080" t="str">
        <f t="shared" si="313"/>
        <v>51</v>
      </c>
      <c r="D1080">
        <v>6319</v>
      </c>
      <c r="E1080" t="str">
        <f t="shared" si="305"/>
        <v>00</v>
      </c>
      <c r="F1080" t="str">
        <f t="shared" si="311"/>
        <v>999</v>
      </c>
      <c r="G1080">
        <v>5</v>
      </c>
      <c r="H1080" t="str">
        <f t="shared" si="312"/>
        <v>99</v>
      </c>
      <c r="I1080" t="str">
        <f t="shared" si="294"/>
        <v>0</v>
      </c>
      <c r="J1080" t="str">
        <f t="shared" si="293"/>
        <v>00</v>
      </c>
      <c r="K1080">
        <v>20150212</v>
      </c>
      <c r="L1080" t="str">
        <f t="shared" ref="L1080:L1087" si="314">"014783"</f>
        <v>014783</v>
      </c>
      <c r="M1080" t="str">
        <f t="shared" ref="M1080:M1087" si="315">"00152"</f>
        <v>00152</v>
      </c>
      <c r="N1080" t="s">
        <v>413</v>
      </c>
      <c r="O1080">
        <v>18.28</v>
      </c>
      <c r="Q1080" t="s">
        <v>33</v>
      </c>
      <c r="R1080" t="s">
        <v>34</v>
      </c>
      <c r="S1080" t="s">
        <v>35</v>
      </c>
      <c r="T1080" t="s">
        <v>35</v>
      </c>
      <c r="U1080" t="s">
        <v>34</v>
      </c>
      <c r="V1080" t="str">
        <f>""</f>
        <v/>
      </c>
      <c r="W1080">
        <v>20150210</v>
      </c>
      <c r="X1080" t="s">
        <v>185</v>
      </c>
      <c r="Y1080" t="s">
        <v>709</v>
      </c>
      <c r="Z1080" t="s">
        <v>709</v>
      </c>
      <c r="AA1080">
        <v>0</v>
      </c>
      <c r="AB1080" t="s">
        <v>142</v>
      </c>
      <c r="AC1080" t="s">
        <v>143</v>
      </c>
      <c r="AD1080" t="s">
        <v>40</v>
      </c>
      <c r="AE1080" t="str">
        <f t="shared" si="304"/>
        <v>02</v>
      </c>
      <c r="AF1080" t="s">
        <v>40</v>
      </c>
    </row>
    <row r="1081" spans="1:32" x14ac:dyDescent="0.25">
      <c r="A1081">
        <v>5</v>
      </c>
      <c r="B1081">
        <v>420</v>
      </c>
      <c r="C1081" t="str">
        <f t="shared" si="313"/>
        <v>51</v>
      </c>
      <c r="D1081">
        <v>6319</v>
      </c>
      <c r="E1081" t="str">
        <f t="shared" si="305"/>
        <v>00</v>
      </c>
      <c r="F1081" t="str">
        <f t="shared" si="311"/>
        <v>999</v>
      </c>
      <c r="G1081">
        <v>5</v>
      </c>
      <c r="H1081" t="str">
        <f t="shared" si="312"/>
        <v>99</v>
      </c>
      <c r="I1081" t="str">
        <f t="shared" si="294"/>
        <v>0</v>
      </c>
      <c r="J1081" t="str">
        <f t="shared" si="293"/>
        <v>00</v>
      </c>
      <c r="K1081">
        <v>20150212</v>
      </c>
      <c r="L1081" t="str">
        <f t="shared" si="314"/>
        <v>014783</v>
      </c>
      <c r="M1081" t="str">
        <f t="shared" si="315"/>
        <v>00152</v>
      </c>
      <c r="N1081" t="s">
        <v>413</v>
      </c>
      <c r="O1081">
        <v>48.69</v>
      </c>
      <c r="Q1081" t="s">
        <v>33</v>
      </c>
      <c r="R1081" t="s">
        <v>34</v>
      </c>
      <c r="S1081" t="s">
        <v>35</v>
      </c>
      <c r="T1081" t="s">
        <v>35</v>
      </c>
      <c r="U1081" t="s">
        <v>34</v>
      </c>
      <c r="V1081" t="str">
        <f>""</f>
        <v/>
      </c>
      <c r="W1081">
        <v>20150210</v>
      </c>
      <c r="X1081" t="s">
        <v>185</v>
      </c>
      <c r="Y1081" t="s">
        <v>709</v>
      </c>
      <c r="Z1081" t="s">
        <v>709</v>
      </c>
      <c r="AA1081">
        <v>0</v>
      </c>
      <c r="AB1081" t="s">
        <v>142</v>
      </c>
      <c r="AC1081" t="s">
        <v>143</v>
      </c>
      <c r="AD1081" t="s">
        <v>40</v>
      </c>
      <c r="AE1081" t="str">
        <f t="shared" si="304"/>
        <v>02</v>
      </c>
      <c r="AF1081" t="s">
        <v>40</v>
      </c>
    </row>
    <row r="1082" spans="1:32" x14ac:dyDescent="0.25">
      <c r="A1082">
        <v>5</v>
      </c>
      <c r="B1082">
        <v>420</v>
      </c>
      <c r="C1082" t="str">
        <f t="shared" si="313"/>
        <v>51</v>
      </c>
      <c r="D1082">
        <v>6319</v>
      </c>
      <c r="E1082" t="str">
        <f t="shared" si="305"/>
        <v>00</v>
      </c>
      <c r="F1082" t="str">
        <f t="shared" si="311"/>
        <v>999</v>
      </c>
      <c r="G1082">
        <v>5</v>
      </c>
      <c r="H1082" t="str">
        <f t="shared" si="312"/>
        <v>99</v>
      </c>
      <c r="I1082" t="str">
        <f t="shared" si="294"/>
        <v>0</v>
      </c>
      <c r="J1082" t="str">
        <f t="shared" si="293"/>
        <v>00</v>
      </c>
      <c r="K1082">
        <v>20150212</v>
      </c>
      <c r="L1082" t="str">
        <f t="shared" si="314"/>
        <v>014783</v>
      </c>
      <c r="M1082" t="str">
        <f t="shared" si="315"/>
        <v>00152</v>
      </c>
      <c r="N1082" t="s">
        <v>413</v>
      </c>
      <c r="O1082">
        <v>29.02</v>
      </c>
      <c r="Q1082" t="s">
        <v>33</v>
      </c>
      <c r="R1082" t="s">
        <v>34</v>
      </c>
      <c r="S1082" t="s">
        <v>35</v>
      </c>
      <c r="T1082" t="s">
        <v>35</v>
      </c>
      <c r="U1082" t="s">
        <v>34</v>
      </c>
      <c r="V1082" t="str">
        <f>""</f>
        <v/>
      </c>
      <c r="W1082">
        <v>20150210</v>
      </c>
      <c r="X1082" t="s">
        <v>185</v>
      </c>
      <c r="Y1082" t="s">
        <v>631</v>
      </c>
      <c r="Z1082" t="s">
        <v>631</v>
      </c>
      <c r="AA1082">
        <v>0</v>
      </c>
      <c r="AB1082" t="s">
        <v>142</v>
      </c>
      <c r="AC1082" t="s">
        <v>143</v>
      </c>
      <c r="AD1082" t="s">
        <v>40</v>
      </c>
      <c r="AE1082" t="str">
        <f t="shared" si="304"/>
        <v>02</v>
      </c>
      <c r="AF1082" t="s">
        <v>40</v>
      </c>
    </row>
    <row r="1083" spans="1:32" x14ac:dyDescent="0.25">
      <c r="A1083">
        <v>5</v>
      </c>
      <c r="B1083">
        <v>420</v>
      </c>
      <c r="C1083" t="str">
        <f t="shared" si="313"/>
        <v>51</v>
      </c>
      <c r="D1083">
        <v>6319</v>
      </c>
      <c r="E1083" t="str">
        <f t="shared" si="305"/>
        <v>00</v>
      </c>
      <c r="F1083" t="str">
        <f t="shared" si="311"/>
        <v>999</v>
      </c>
      <c r="G1083">
        <v>5</v>
      </c>
      <c r="H1083" t="str">
        <f t="shared" si="312"/>
        <v>99</v>
      </c>
      <c r="I1083" t="str">
        <f t="shared" si="294"/>
        <v>0</v>
      </c>
      <c r="J1083" t="str">
        <f t="shared" ref="J1083:J1146" si="316">"00"</f>
        <v>00</v>
      </c>
      <c r="K1083">
        <v>20150212</v>
      </c>
      <c r="L1083" t="str">
        <f t="shared" si="314"/>
        <v>014783</v>
      </c>
      <c r="M1083" t="str">
        <f t="shared" si="315"/>
        <v>00152</v>
      </c>
      <c r="N1083" t="s">
        <v>413</v>
      </c>
      <c r="O1083">
        <v>12.55</v>
      </c>
      <c r="Q1083" t="s">
        <v>33</v>
      </c>
      <c r="R1083" t="s">
        <v>34</v>
      </c>
      <c r="S1083" t="s">
        <v>35</v>
      </c>
      <c r="T1083" t="s">
        <v>35</v>
      </c>
      <c r="U1083" t="s">
        <v>34</v>
      </c>
      <c r="V1083" t="str">
        <f>""</f>
        <v/>
      </c>
      <c r="W1083">
        <v>20150210</v>
      </c>
      <c r="X1083" t="s">
        <v>185</v>
      </c>
      <c r="Y1083" t="s">
        <v>631</v>
      </c>
      <c r="Z1083" t="s">
        <v>631</v>
      </c>
      <c r="AA1083">
        <v>0</v>
      </c>
      <c r="AB1083" t="s">
        <v>142</v>
      </c>
      <c r="AC1083" t="s">
        <v>143</v>
      </c>
      <c r="AD1083" t="s">
        <v>40</v>
      </c>
      <c r="AE1083" t="str">
        <f t="shared" si="304"/>
        <v>02</v>
      </c>
      <c r="AF1083" t="s">
        <v>40</v>
      </c>
    </row>
    <row r="1084" spans="1:32" x14ac:dyDescent="0.25">
      <c r="A1084">
        <v>5</v>
      </c>
      <c r="B1084">
        <v>420</v>
      </c>
      <c r="C1084" t="str">
        <f t="shared" si="313"/>
        <v>51</v>
      </c>
      <c r="D1084">
        <v>6319</v>
      </c>
      <c r="E1084" t="str">
        <f t="shared" si="305"/>
        <v>00</v>
      </c>
      <c r="F1084" t="str">
        <f t="shared" si="311"/>
        <v>999</v>
      </c>
      <c r="G1084">
        <v>5</v>
      </c>
      <c r="H1084" t="str">
        <f t="shared" si="312"/>
        <v>99</v>
      </c>
      <c r="I1084" t="str">
        <f t="shared" si="294"/>
        <v>0</v>
      </c>
      <c r="J1084" t="str">
        <f t="shared" si="316"/>
        <v>00</v>
      </c>
      <c r="K1084">
        <v>20150212</v>
      </c>
      <c r="L1084" t="str">
        <f t="shared" si="314"/>
        <v>014783</v>
      </c>
      <c r="M1084" t="str">
        <f t="shared" si="315"/>
        <v>00152</v>
      </c>
      <c r="N1084" t="s">
        <v>413</v>
      </c>
      <c r="O1084">
        <v>37.200000000000003</v>
      </c>
      <c r="Q1084" t="s">
        <v>33</v>
      </c>
      <c r="R1084" t="s">
        <v>34</v>
      </c>
      <c r="S1084" t="s">
        <v>35</v>
      </c>
      <c r="T1084" t="s">
        <v>35</v>
      </c>
      <c r="U1084" t="s">
        <v>34</v>
      </c>
      <c r="V1084" t="str">
        <f>""</f>
        <v/>
      </c>
      <c r="W1084">
        <v>20150210</v>
      </c>
      <c r="X1084" t="s">
        <v>185</v>
      </c>
      <c r="Y1084" t="s">
        <v>493</v>
      </c>
      <c r="Z1084" t="s">
        <v>493</v>
      </c>
      <c r="AA1084">
        <v>0</v>
      </c>
      <c r="AB1084" t="s">
        <v>142</v>
      </c>
      <c r="AC1084" t="s">
        <v>143</v>
      </c>
      <c r="AD1084" t="s">
        <v>40</v>
      </c>
      <c r="AE1084" t="str">
        <f t="shared" si="304"/>
        <v>02</v>
      </c>
      <c r="AF1084" t="s">
        <v>40</v>
      </c>
    </row>
    <row r="1085" spans="1:32" x14ac:dyDescent="0.25">
      <c r="A1085">
        <v>5</v>
      </c>
      <c r="B1085">
        <v>420</v>
      </c>
      <c r="C1085" t="str">
        <f t="shared" si="313"/>
        <v>51</v>
      </c>
      <c r="D1085">
        <v>6319</v>
      </c>
      <c r="E1085" t="str">
        <f t="shared" si="305"/>
        <v>00</v>
      </c>
      <c r="F1085" t="str">
        <f t="shared" si="311"/>
        <v>999</v>
      </c>
      <c r="G1085">
        <v>5</v>
      </c>
      <c r="H1085" t="str">
        <f t="shared" si="312"/>
        <v>99</v>
      </c>
      <c r="I1085" t="str">
        <f t="shared" si="294"/>
        <v>0</v>
      </c>
      <c r="J1085" t="str">
        <f t="shared" si="316"/>
        <v>00</v>
      </c>
      <c r="K1085">
        <v>20150212</v>
      </c>
      <c r="L1085" t="str">
        <f t="shared" si="314"/>
        <v>014783</v>
      </c>
      <c r="M1085" t="str">
        <f t="shared" si="315"/>
        <v>00152</v>
      </c>
      <c r="N1085" t="s">
        <v>413</v>
      </c>
      <c r="O1085">
        <v>219.42</v>
      </c>
      <c r="Q1085" t="s">
        <v>33</v>
      </c>
      <c r="R1085" t="s">
        <v>34</v>
      </c>
      <c r="S1085" t="s">
        <v>35</v>
      </c>
      <c r="T1085" t="s">
        <v>35</v>
      </c>
      <c r="U1085" t="s">
        <v>34</v>
      </c>
      <c r="V1085" t="str">
        <f>""</f>
        <v/>
      </c>
      <c r="W1085">
        <v>20150210</v>
      </c>
      <c r="X1085" t="s">
        <v>185</v>
      </c>
      <c r="Y1085" t="s">
        <v>493</v>
      </c>
      <c r="Z1085" t="s">
        <v>493</v>
      </c>
      <c r="AA1085">
        <v>0</v>
      </c>
      <c r="AB1085" t="s">
        <v>142</v>
      </c>
      <c r="AC1085" t="s">
        <v>143</v>
      </c>
      <c r="AD1085" t="s">
        <v>40</v>
      </c>
      <c r="AE1085" t="str">
        <f t="shared" si="304"/>
        <v>02</v>
      </c>
      <c r="AF1085" t="s">
        <v>40</v>
      </c>
    </row>
    <row r="1086" spans="1:32" x14ac:dyDescent="0.25">
      <c r="A1086">
        <v>5</v>
      </c>
      <c r="B1086">
        <v>420</v>
      </c>
      <c r="C1086" t="str">
        <f t="shared" si="313"/>
        <v>51</v>
      </c>
      <c r="D1086">
        <v>6319</v>
      </c>
      <c r="E1086" t="str">
        <f t="shared" si="305"/>
        <v>00</v>
      </c>
      <c r="F1086" t="str">
        <f t="shared" si="311"/>
        <v>999</v>
      </c>
      <c r="G1086">
        <v>5</v>
      </c>
      <c r="H1086" t="str">
        <f t="shared" si="312"/>
        <v>99</v>
      </c>
      <c r="I1086" t="str">
        <f t="shared" si="294"/>
        <v>0</v>
      </c>
      <c r="J1086" t="str">
        <f t="shared" si="316"/>
        <v>00</v>
      </c>
      <c r="K1086">
        <v>20150212</v>
      </c>
      <c r="L1086" t="str">
        <f t="shared" si="314"/>
        <v>014783</v>
      </c>
      <c r="M1086" t="str">
        <f t="shared" si="315"/>
        <v>00152</v>
      </c>
      <c r="N1086" t="s">
        <v>413</v>
      </c>
      <c r="O1086">
        <v>12.84</v>
      </c>
      <c r="Q1086" t="s">
        <v>33</v>
      </c>
      <c r="R1086" t="s">
        <v>34</v>
      </c>
      <c r="S1086" t="s">
        <v>35</v>
      </c>
      <c r="T1086" t="s">
        <v>35</v>
      </c>
      <c r="U1086" t="s">
        <v>34</v>
      </c>
      <c r="V1086" t="str">
        <f>""</f>
        <v/>
      </c>
      <c r="W1086">
        <v>20150210</v>
      </c>
      <c r="X1086" t="s">
        <v>185</v>
      </c>
      <c r="Y1086" t="s">
        <v>493</v>
      </c>
      <c r="Z1086" t="s">
        <v>493</v>
      </c>
      <c r="AA1086">
        <v>0</v>
      </c>
      <c r="AB1086" t="s">
        <v>142</v>
      </c>
      <c r="AC1086" t="s">
        <v>143</v>
      </c>
      <c r="AD1086" t="s">
        <v>40</v>
      </c>
      <c r="AE1086" t="str">
        <f t="shared" si="304"/>
        <v>02</v>
      </c>
      <c r="AF1086" t="s">
        <v>40</v>
      </c>
    </row>
    <row r="1087" spans="1:32" x14ac:dyDescent="0.25">
      <c r="A1087">
        <v>5</v>
      </c>
      <c r="B1087">
        <v>420</v>
      </c>
      <c r="C1087" t="str">
        <f t="shared" si="313"/>
        <v>51</v>
      </c>
      <c r="D1087">
        <v>6319</v>
      </c>
      <c r="E1087" t="str">
        <f t="shared" si="305"/>
        <v>00</v>
      </c>
      <c r="F1087" t="str">
        <f t="shared" si="311"/>
        <v>999</v>
      </c>
      <c r="G1087">
        <v>5</v>
      </c>
      <c r="H1087" t="str">
        <f t="shared" si="312"/>
        <v>99</v>
      </c>
      <c r="I1087" t="str">
        <f t="shared" si="294"/>
        <v>0</v>
      </c>
      <c r="J1087" t="str">
        <f t="shared" si="316"/>
        <v>00</v>
      </c>
      <c r="K1087">
        <v>20150212</v>
      </c>
      <c r="L1087" t="str">
        <f t="shared" si="314"/>
        <v>014783</v>
      </c>
      <c r="M1087" t="str">
        <f t="shared" si="315"/>
        <v>00152</v>
      </c>
      <c r="N1087" t="s">
        <v>413</v>
      </c>
      <c r="O1087">
        <v>23.2</v>
      </c>
      <c r="Q1087" t="s">
        <v>33</v>
      </c>
      <c r="R1087" t="s">
        <v>34</v>
      </c>
      <c r="S1087" t="s">
        <v>35</v>
      </c>
      <c r="T1087" t="s">
        <v>35</v>
      </c>
      <c r="U1087" t="s">
        <v>34</v>
      </c>
      <c r="V1087" t="str">
        <f>""</f>
        <v/>
      </c>
      <c r="W1087">
        <v>20150210</v>
      </c>
      <c r="X1087" t="s">
        <v>185</v>
      </c>
      <c r="Y1087" t="s">
        <v>710</v>
      </c>
      <c r="Z1087" t="s">
        <v>710</v>
      </c>
      <c r="AA1087">
        <v>0</v>
      </c>
      <c r="AB1087" t="s">
        <v>142</v>
      </c>
      <c r="AC1087" t="s">
        <v>143</v>
      </c>
      <c r="AD1087" t="s">
        <v>40</v>
      </c>
      <c r="AE1087" t="str">
        <f t="shared" si="304"/>
        <v>02</v>
      </c>
      <c r="AF1087" t="s">
        <v>40</v>
      </c>
    </row>
    <row r="1088" spans="1:32" x14ac:dyDescent="0.25">
      <c r="A1088">
        <v>5</v>
      </c>
      <c r="B1088">
        <v>420</v>
      </c>
      <c r="C1088" t="str">
        <f>"13"</f>
        <v>13</v>
      </c>
      <c r="D1088">
        <v>6399</v>
      </c>
      <c r="E1088" t="str">
        <f t="shared" si="305"/>
        <v>00</v>
      </c>
      <c r="F1088" t="str">
        <f>"001"</f>
        <v>001</v>
      </c>
      <c r="G1088">
        <v>5</v>
      </c>
      <c r="H1088" t="str">
        <f>"11"</f>
        <v>11</v>
      </c>
      <c r="I1088" t="str">
        <f t="shared" si="294"/>
        <v>0</v>
      </c>
      <c r="J1088" t="str">
        <f t="shared" si="316"/>
        <v>00</v>
      </c>
      <c r="K1088">
        <v>20150212</v>
      </c>
      <c r="L1088" t="str">
        <f>"014784"</f>
        <v>014784</v>
      </c>
      <c r="M1088" t="str">
        <f>"00156"</f>
        <v>00156</v>
      </c>
      <c r="N1088" t="s">
        <v>511</v>
      </c>
      <c r="O1088">
        <v>353.81</v>
      </c>
      <c r="Q1088" t="s">
        <v>33</v>
      </c>
      <c r="R1088" t="s">
        <v>34</v>
      </c>
      <c r="S1088" t="s">
        <v>35</v>
      </c>
      <c r="T1088" t="s">
        <v>35</v>
      </c>
      <c r="U1088" t="s">
        <v>34</v>
      </c>
      <c r="V1088" t="str">
        <f>""</f>
        <v/>
      </c>
      <c r="W1088">
        <v>20150211</v>
      </c>
      <c r="X1088" t="s">
        <v>390</v>
      </c>
      <c r="Y1088" t="s">
        <v>711</v>
      </c>
      <c r="Z1088" t="s">
        <v>711</v>
      </c>
      <c r="AA1088">
        <v>0</v>
      </c>
      <c r="AB1088" t="s">
        <v>142</v>
      </c>
      <c r="AC1088" t="s">
        <v>41</v>
      </c>
      <c r="AD1088" t="s">
        <v>40</v>
      </c>
      <c r="AE1088" t="str">
        <f t="shared" ref="AE1088:AE1119" si="317">"02"</f>
        <v>02</v>
      </c>
      <c r="AF1088" t="s">
        <v>40</v>
      </c>
    </row>
    <row r="1089" spans="1:32" x14ac:dyDescent="0.25">
      <c r="A1089">
        <v>5</v>
      </c>
      <c r="B1089">
        <v>420</v>
      </c>
      <c r="C1089" t="str">
        <f>"13"</f>
        <v>13</v>
      </c>
      <c r="D1089">
        <v>6399</v>
      </c>
      <c r="E1089" t="str">
        <f t="shared" si="305"/>
        <v>00</v>
      </c>
      <c r="F1089" t="str">
        <f>"041"</f>
        <v>041</v>
      </c>
      <c r="G1089">
        <v>5</v>
      </c>
      <c r="H1089" t="str">
        <f>"11"</f>
        <v>11</v>
      </c>
      <c r="I1089" t="str">
        <f t="shared" si="294"/>
        <v>0</v>
      </c>
      <c r="J1089" t="str">
        <f t="shared" si="316"/>
        <v>00</v>
      </c>
      <c r="K1089">
        <v>20150212</v>
      </c>
      <c r="L1089" t="str">
        <f>"014784"</f>
        <v>014784</v>
      </c>
      <c r="M1089" t="str">
        <f>"00156"</f>
        <v>00156</v>
      </c>
      <c r="N1089" t="s">
        <v>511</v>
      </c>
      <c r="O1089">
        <v>555.98</v>
      </c>
      <c r="Q1089" t="s">
        <v>33</v>
      </c>
      <c r="R1089" t="s">
        <v>34</v>
      </c>
      <c r="S1089" t="s">
        <v>35</v>
      </c>
      <c r="T1089" t="s">
        <v>35</v>
      </c>
      <c r="U1089" t="s">
        <v>34</v>
      </c>
      <c r="V1089" t="str">
        <f>""</f>
        <v/>
      </c>
      <c r="W1089">
        <v>20150211</v>
      </c>
      <c r="X1089" t="s">
        <v>392</v>
      </c>
      <c r="Y1089" t="s">
        <v>711</v>
      </c>
      <c r="Z1089" t="s">
        <v>711</v>
      </c>
      <c r="AA1089">
        <v>0</v>
      </c>
      <c r="AB1089" t="s">
        <v>142</v>
      </c>
      <c r="AC1089" t="s">
        <v>41</v>
      </c>
      <c r="AD1089" t="s">
        <v>40</v>
      </c>
      <c r="AE1089" t="str">
        <f t="shared" si="317"/>
        <v>02</v>
      </c>
      <c r="AF1089" t="s">
        <v>40</v>
      </c>
    </row>
    <row r="1090" spans="1:32" x14ac:dyDescent="0.25">
      <c r="A1090">
        <v>5</v>
      </c>
      <c r="B1090">
        <v>420</v>
      </c>
      <c r="C1090" t="str">
        <f>"13"</f>
        <v>13</v>
      </c>
      <c r="D1090">
        <v>6399</v>
      </c>
      <c r="E1090" t="str">
        <f t="shared" si="305"/>
        <v>00</v>
      </c>
      <c r="F1090" t="str">
        <f>"101"</f>
        <v>101</v>
      </c>
      <c r="G1090">
        <v>5</v>
      </c>
      <c r="H1090" t="str">
        <f>"11"</f>
        <v>11</v>
      </c>
      <c r="I1090" t="str">
        <f t="shared" ref="I1090:I1153" si="318">"0"</f>
        <v>0</v>
      </c>
      <c r="J1090" t="str">
        <f t="shared" si="316"/>
        <v>00</v>
      </c>
      <c r="K1090">
        <v>20150212</v>
      </c>
      <c r="L1090" t="str">
        <f>"014784"</f>
        <v>014784</v>
      </c>
      <c r="M1090" t="str">
        <f>"00156"</f>
        <v>00156</v>
      </c>
      <c r="N1090" t="s">
        <v>511</v>
      </c>
      <c r="O1090">
        <v>775.01</v>
      </c>
      <c r="Q1090" t="s">
        <v>33</v>
      </c>
      <c r="R1090" t="s">
        <v>34</v>
      </c>
      <c r="S1090" t="s">
        <v>35</v>
      </c>
      <c r="T1090" t="s">
        <v>35</v>
      </c>
      <c r="U1090" t="s">
        <v>34</v>
      </c>
      <c r="V1090" t="str">
        <f>""</f>
        <v/>
      </c>
      <c r="W1090">
        <v>20150211</v>
      </c>
      <c r="X1090" t="s">
        <v>393</v>
      </c>
      <c r="Y1090" t="s">
        <v>711</v>
      </c>
      <c r="Z1090" t="s">
        <v>711</v>
      </c>
      <c r="AA1090">
        <v>0</v>
      </c>
      <c r="AB1090" t="s">
        <v>142</v>
      </c>
      <c r="AC1090" t="s">
        <v>41</v>
      </c>
      <c r="AD1090" t="s">
        <v>40</v>
      </c>
      <c r="AE1090" t="str">
        <f t="shared" si="317"/>
        <v>02</v>
      </c>
      <c r="AF1090" t="s">
        <v>40</v>
      </c>
    </row>
    <row r="1091" spans="1:32" x14ac:dyDescent="0.25">
      <c r="A1091">
        <v>5</v>
      </c>
      <c r="B1091">
        <v>420</v>
      </c>
      <c r="C1091" t="str">
        <f>"11"</f>
        <v>11</v>
      </c>
      <c r="D1091">
        <v>6269</v>
      </c>
      <c r="E1091" t="str">
        <f t="shared" si="305"/>
        <v>00</v>
      </c>
      <c r="F1091" t="str">
        <f t="shared" ref="F1091:F1099" si="319">"999"</f>
        <v>999</v>
      </c>
      <c r="G1091">
        <v>5</v>
      </c>
      <c r="H1091" t="str">
        <f>"11"</f>
        <v>11</v>
      </c>
      <c r="I1091" t="str">
        <f t="shared" si="318"/>
        <v>0</v>
      </c>
      <c r="J1091" t="str">
        <f t="shared" si="316"/>
        <v>00</v>
      </c>
      <c r="K1091">
        <v>20150212</v>
      </c>
      <c r="L1091" t="str">
        <f>"014785"</f>
        <v>014785</v>
      </c>
      <c r="M1091" t="str">
        <f>"00218"</f>
        <v>00218</v>
      </c>
      <c r="N1091" t="s">
        <v>694</v>
      </c>
      <c r="O1091">
        <v>136.25</v>
      </c>
      <c r="Q1091" t="s">
        <v>33</v>
      </c>
      <c r="R1091" t="s">
        <v>34</v>
      </c>
      <c r="S1091" t="s">
        <v>35</v>
      </c>
      <c r="T1091" t="s">
        <v>35</v>
      </c>
      <c r="U1091" t="s">
        <v>34</v>
      </c>
      <c r="V1091" t="str">
        <f>""</f>
        <v/>
      </c>
      <c r="W1091">
        <v>20150210</v>
      </c>
      <c r="X1091" t="s">
        <v>213</v>
      </c>
      <c r="Y1091" t="s">
        <v>549</v>
      </c>
      <c r="Z1091" t="s">
        <v>549</v>
      </c>
      <c r="AA1091">
        <v>0</v>
      </c>
      <c r="AB1091" t="s">
        <v>142</v>
      </c>
      <c r="AC1091" t="s">
        <v>143</v>
      </c>
      <c r="AD1091" t="s">
        <v>40</v>
      </c>
      <c r="AE1091" t="str">
        <f t="shared" si="317"/>
        <v>02</v>
      </c>
      <c r="AF1091" t="s">
        <v>40</v>
      </c>
    </row>
    <row r="1092" spans="1:32" x14ac:dyDescent="0.25">
      <c r="A1092">
        <v>5</v>
      </c>
      <c r="B1092">
        <v>240</v>
      </c>
      <c r="C1092" t="str">
        <f t="shared" ref="C1092:C1098" si="320">"35"</f>
        <v>35</v>
      </c>
      <c r="D1092">
        <v>6341</v>
      </c>
      <c r="E1092" t="str">
        <f t="shared" si="305"/>
        <v>00</v>
      </c>
      <c r="F1092" t="str">
        <f t="shared" si="319"/>
        <v>999</v>
      </c>
      <c r="G1092">
        <v>5</v>
      </c>
      <c r="H1092" t="str">
        <f t="shared" ref="H1092:H1099" si="321">"99"</f>
        <v>99</v>
      </c>
      <c r="I1092" t="str">
        <f t="shared" si="318"/>
        <v>0</v>
      </c>
      <c r="J1092" t="str">
        <f t="shared" si="316"/>
        <v>00</v>
      </c>
      <c r="K1092">
        <v>20150212</v>
      </c>
      <c r="L1092" t="str">
        <f t="shared" ref="L1092:L1098" si="322">"014786"</f>
        <v>014786</v>
      </c>
      <c r="M1092" t="str">
        <f t="shared" ref="M1092:M1098" si="323">"00410"</f>
        <v>00410</v>
      </c>
      <c r="N1092" t="s">
        <v>324</v>
      </c>
      <c r="O1092">
        <v>456.95</v>
      </c>
      <c r="Q1092" t="s">
        <v>33</v>
      </c>
      <c r="R1092" t="s">
        <v>34</v>
      </c>
      <c r="S1092" t="s">
        <v>35</v>
      </c>
      <c r="T1092" t="s">
        <v>35</v>
      </c>
      <c r="U1092" t="s">
        <v>34</v>
      </c>
      <c r="V1092" t="str">
        <f>""</f>
        <v/>
      </c>
      <c r="W1092">
        <v>20150209</v>
      </c>
      <c r="X1092" t="s">
        <v>268</v>
      </c>
      <c r="Y1092" t="s">
        <v>573</v>
      </c>
      <c r="Z1092" t="s">
        <v>573</v>
      </c>
      <c r="AA1092">
        <v>0</v>
      </c>
      <c r="AB1092" t="s">
        <v>238</v>
      </c>
      <c r="AC1092" t="s">
        <v>143</v>
      </c>
      <c r="AD1092" t="s">
        <v>40</v>
      </c>
      <c r="AE1092" t="str">
        <f t="shared" si="317"/>
        <v>02</v>
      </c>
      <c r="AF1092" t="s">
        <v>40</v>
      </c>
    </row>
    <row r="1093" spans="1:32" x14ac:dyDescent="0.25">
      <c r="A1093">
        <v>5</v>
      </c>
      <c r="B1093">
        <v>240</v>
      </c>
      <c r="C1093" t="str">
        <f t="shared" si="320"/>
        <v>35</v>
      </c>
      <c r="D1093">
        <v>6341</v>
      </c>
      <c r="E1093" t="str">
        <f t="shared" si="305"/>
        <v>00</v>
      </c>
      <c r="F1093" t="str">
        <f t="shared" si="319"/>
        <v>999</v>
      </c>
      <c r="G1093">
        <v>5</v>
      </c>
      <c r="H1093" t="str">
        <f t="shared" si="321"/>
        <v>99</v>
      </c>
      <c r="I1093" t="str">
        <f t="shared" si="318"/>
        <v>0</v>
      </c>
      <c r="J1093" t="str">
        <f t="shared" si="316"/>
        <v>00</v>
      </c>
      <c r="K1093">
        <v>20150212</v>
      </c>
      <c r="L1093" t="str">
        <f t="shared" si="322"/>
        <v>014786</v>
      </c>
      <c r="M1093" t="str">
        <f t="shared" si="323"/>
        <v>00410</v>
      </c>
      <c r="N1093" t="s">
        <v>324</v>
      </c>
      <c r="O1093">
        <v>382.85</v>
      </c>
      <c r="Q1093" t="s">
        <v>33</v>
      </c>
      <c r="R1093" t="s">
        <v>34</v>
      </c>
      <c r="S1093" t="s">
        <v>35</v>
      </c>
      <c r="T1093" t="s">
        <v>35</v>
      </c>
      <c r="U1093" t="s">
        <v>34</v>
      </c>
      <c r="V1093" t="str">
        <f>""</f>
        <v/>
      </c>
      <c r="W1093">
        <v>20150209</v>
      </c>
      <c r="X1093" t="s">
        <v>268</v>
      </c>
      <c r="Y1093" t="s">
        <v>573</v>
      </c>
      <c r="Z1093" t="s">
        <v>573</v>
      </c>
      <c r="AA1093">
        <v>0</v>
      </c>
      <c r="AB1093" t="s">
        <v>238</v>
      </c>
      <c r="AC1093" t="s">
        <v>143</v>
      </c>
      <c r="AD1093" t="s">
        <v>40</v>
      </c>
      <c r="AE1093" t="str">
        <f t="shared" si="317"/>
        <v>02</v>
      </c>
      <c r="AF1093" t="s">
        <v>40</v>
      </c>
    </row>
    <row r="1094" spans="1:32" x14ac:dyDescent="0.25">
      <c r="A1094">
        <v>5</v>
      </c>
      <c r="B1094">
        <v>240</v>
      </c>
      <c r="C1094" t="str">
        <f t="shared" si="320"/>
        <v>35</v>
      </c>
      <c r="D1094">
        <v>6341</v>
      </c>
      <c r="E1094" t="str">
        <f t="shared" si="305"/>
        <v>00</v>
      </c>
      <c r="F1094" t="str">
        <f t="shared" si="319"/>
        <v>999</v>
      </c>
      <c r="G1094">
        <v>5</v>
      </c>
      <c r="H1094" t="str">
        <f t="shared" si="321"/>
        <v>99</v>
      </c>
      <c r="I1094" t="str">
        <f t="shared" si="318"/>
        <v>0</v>
      </c>
      <c r="J1094" t="str">
        <f t="shared" si="316"/>
        <v>00</v>
      </c>
      <c r="K1094">
        <v>20150212</v>
      </c>
      <c r="L1094" t="str">
        <f t="shared" si="322"/>
        <v>014786</v>
      </c>
      <c r="M1094" t="str">
        <f t="shared" si="323"/>
        <v>00410</v>
      </c>
      <c r="N1094" t="s">
        <v>324</v>
      </c>
      <c r="O1094">
        <v>506.35</v>
      </c>
      <c r="Q1094" t="s">
        <v>33</v>
      </c>
      <c r="R1094" t="s">
        <v>34</v>
      </c>
      <c r="S1094" t="s">
        <v>35</v>
      </c>
      <c r="T1094" t="s">
        <v>35</v>
      </c>
      <c r="U1094" t="s">
        <v>34</v>
      </c>
      <c r="V1094" t="str">
        <f>""</f>
        <v/>
      </c>
      <c r="W1094">
        <v>20150209</v>
      </c>
      <c r="X1094" t="s">
        <v>268</v>
      </c>
      <c r="Y1094" t="s">
        <v>573</v>
      </c>
      <c r="Z1094" t="s">
        <v>573</v>
      </c>
      <c r="AA1094">
        <v>0</v>
      </c>
      <c r="AB1094" t="s">
        <v>238</v>
      </c>
      <c r="AC1094" t="s">
        <v>143</v>
      </c>
      <c r="AD1094" t="s">
        <v>40</v>
      </c>
      <c r="AE1094" t="str">
        <f t="shared" si="317"/>
        <v>02</v>
      </c>
      <c r="AF1094" t="s">
        <v>40</v>
      </c>
    </row>
    <row r="1095" spans="1:32" x14ac:dyDescent="0.25">
      <c r="A1095">
        <v>5</v>
      </c>
      <c r="B1095">
        <v>240</v>
      </c>
      <c r="C1095" t="str">
        <f t="shared" si="320"/>
        <v>35</v>
      </c>
      <c r="D1095">
        <v>6341</v>
      </c>
      <c r="E1095" t="str">
        <f t="shared" si="305"/>
        <v>00</v>
      </c>
      <c r="F1095" t="str">
        <f t="shared" si="319"/>
        <v>999</v>
      </c>
      <c r="G1095">
        <v>5</v>
      </c>
      <c r="H1095" t="str">
        <f t="shared" si="321"/>
        <v>99</v>
      </c>
      <c r="I1095" t="str">
        <f t="shared" si="318"/>
        <v>0</v>
      </c>
      <c r="J1095" t="str">
        <f t="shared" si="316"/>
        <v>00</v>
      </c>
      <c r="K1095">
        <v>20150212</v>
      </c>
      <c r="L1095" t="str">
        <f t="shared" si="322"/>
        <v>014786</v>
      </c>
      <c r="M1095" t="str">
        <f t="shared" si="323"/>
        <v>00410</v>
      </c>
      <c r="N1095" t="s">
        <v>324</v>
      </c>
      <c r="O1095">
        <v>432.25</v>
      </c>
      <c r="Q1095" t="s">
        <v>33</v>
      </c>
      <c r="R1095" t="s">
        <v>34</v>
      </c>
      <c r="S1095" t="s">
        <v>35</v>
      </c>
      <c r="T1095" t="s">
        <v>35</v>
      </c>
      <c r="U1095" t="s">
        <v>34</v>
      </c>
      <c r="V1095" t="str">
        <f>""</f>
        <v/>
      </c>
      <c r="W1095">
        <v>20150209</v>
      </c>
      <c r="X1095" t="s">
        <v>268</v>
      </c>
      <c r="Y1095" t="s">
        <v>573</v>
      </c>
      <c r="Z1095" t="s">
        <v>573</v>
      </c>
      <c r="AA1095">
        <v>0</v>
      </c>
      <c r="AB1095" t="s">
        <v>238</v>
      </c>
      <c r="AC1095" t="s">
        <v>143</v>
      </c>
      <c r="AD1095" t="s">
        <v>40</v>
      </c>
      <c r="AE1095" t="str">
        <f t="shared" si="317"/>
        <v>02</v>
      </c>
      <c r="AF1095" t="s">
        <v>40</v>
      </c>
    </row>
    <row r="1096" spans="1:32" x14ac:dyDescent="0.25">
      <c r="A1096">
        <v>5</v>
      </c>
      <c r="B1096">
        <v>240</v>
      </c>
      <c r="C1096" t="str">
        <f t="shared" si="320"/>
        <v>35</v>
      </c>
      <c r="D1096">
        <v>6341</v>
      </c>
      <c r="E1096" t="str">
        <f t="shared" si="305"/>
        <v>00</v>
      </c>
      <c r="F1096" t="str">
        <f t="shared" si="319"/>
        <v>999</v>
      </c>
      <c r="G1096">
        <v>5</v>
      </c>
      <c r="H1096" t="str">
        <f t="shared" si="321"/>
        <v>99</v>
      </c>
      <c r="I1096" t="str">
        <f t="shared" si="318"/>
        <v>0</v>
      </c>
      <c r="J1096" t="str">
        <f t="shared" si="316"/>
        <v>00</v>
      </c>
      <c r="K1096">
        <v>20150212</v>
      </c>
      <c r="L1096" t="str">
        <f t="shared" si="322"/>
        <v>014786</v>
      </c>
      <c r="M1096" t="str">
        <f t="shared" si="323"/>
        <v>00410</v>
      </c>
      <c r="N1096" t="s">
        <v>324</v>
      </c>
      <c r="O1096">
        <v>345.8</v>
      </c>
      <c r="Q1096" t="s">
        <v>33</v>
      </c>
      <c r="R1096" t="s">
        <v>34</v>
      </c>
      <c r="S1096" t="s">
        <v>35</v>
      </c>
      <c r="T1096" t="s">
        <v>35</v>
      </c>
      <c r="U1096" t="s">
        <v>34</v>
      </c>
      <c r="V1096" t="str">
        <f>""</f>
        <v/>
      </c>
      <c r="W1096">
        <v>20150209</v>
      </c>
      <c r="X1096" t="s">
        <v>268</v>
      </c>
      <c r="Y1096" t="s">
        <v>573</v>
      </c>
      <c r="Z1096" t="s">
        <v>573</v>
      </c>
      <c r="AA1096">
        <v>0</v>
      </c>
      <c r="AB1096" t="s">
        <v>238</v>
      </c>
      <c r="AC1096" t="s">
        <v>143</v>
      </c>
      <c r="AD1096" t="s">
        <v>40</v>
      </c>
      <c r="AE1096" t="str">
        <f t="shared" si="317"/>
        <v>02</v>
      </c>
      <c r="AF1096" t="s">
        <v>40</v>
      </c>
    </row>
    <row r="1097" spans="1:32" x14ac:dyDescent="0.25">
      <c r="A1097">
        <v>5</v>
      </c>
      <c r="B1097">
        <v>240</v>
      </c>
      <c r="C1097" t="str">
        <f t="shared" si="320"/>
        <v>35</v>
      </c>
      <c r="D1097">
        <v>6341</v>
      </c>
      <c r="E1097" t="str">
        <f t="shared" si="305"/>
        <v>00</v>
      </c>
      <c r="F1097" t="str">
        <f t="shared" si="319"/>
        <v>999</v>
      </c>
      <c r="G1097">
        <v>5</v>
      </c>
      <c r="H1097" t="str">
        <f t="shared" si="321"/>
        <v>99</v>
      </c>
      <c r="I1097" t="str">
        <f t="shared" si="318"/>
        <v>0</v>
      </c>
      <c r="J1097" t="str">
        <f t="shared" si="316"/>
        <v>00</v>
      </c>
      <c r="K1097">
        <v>20150212</v>
      </c>
      <c r="L1097" t="str">
        <f t="shared" si="322"/>
        <v>014786</v>
      </c>
      <c r="M1097" t="str">
        <f t="shared" si="323"/>
        <v>00410</v>
      </c>
      <c r="N1097" t="s">
        <v>324</v>
      </c>
      <c r="O1097">
        <v>494</v>
      </c>
      <c r="Q1097" t="s">
        <v>33</v>
      </c>
      <c r="R1097" t="s">
        <v>34</v>
      </c>
      <c r="S1097" t="s">
        <v>35</v>
      </c>
      <c r="T1097" t="s">
        <v>35</v>
      </c>
      <c r="U1097" t="s">
        <v>34</v>
      </c>
      <c r="V1097" t="str">
        <f>""</f>
        <v/>
      </c>
      <c r="W1097">
        <v>20150209</v>
      </c>
      <c r="X1097" t="s">
        <v>268</v>
      </c>
      <c r="Y1097" t="s">
        <v>573</v>
      </c>
      <c r="Z1097" t="s">
        <v>573</v>
      </c>
      <c r="AA1097">
        <v>0</v>
      </c>
      <c r="AB1097" t="s">
        <v>238</v>
      </c>
      <c r="AC1097" t="s">
        <v>143</v>
      </c>
      <c r="AD1097" t="s">
        <v>40</v>
      </c>
      <c r="AE1097" t="str">
        <f t="shared" si="317"/>
        <v>02</v>
      </c>
      <c r="AF1097" t="s">
        <v>40</v>
      </c>
    </row>
    <row r="1098" spans="1:32" x14ac:dyDescent="0.25">
      <c r="A1098">
        <v>5</v>
      </c>
      <c r="B1098">
        <v>240</v>
      </c>
      <c r="C1098" t="str">
        <f t="shared" si="320"/>
        <v>35</v>
      </c>
      <c r="D1098">
        <v>6341</v>
      </c>
      <c r="E1098" t="str">
        <f t="shared" si="305"/>
        <v>00</v>
      </c>
      <c r="F1098" t="str">
        <f t="shared" si="319"/>
        <v>999</v>
      </c>
      <c r="G1098">
        <v>5</v>
      </c>
      <c r="H1098" t="str">
        <f t="shared" si="321"/>
        <v>99</v>
      </c>
      <c r="I1098" t="str">
        <f t="shared" si="318"/>
        <v>0</v>
      </c>
      <c r="J1098" t="str">
        <f t="shared" si="316"/>
        <v>00</v>
      </c>
      <c r="K1098">
        <v>20150212</v>
      </c>
      <c r="L1098" t="str">
        <f t="shared" si="322"/>
        <v>014786</v>
      </c>
      <c r="M1098" t="str">
        <f t="shared" si="323"/>
        <v>00410</v>
      </c>
      <c r="N1098" t="s">
        <v>324</v>
      </c>
      <c r="O1098">
        <v>296.39999999999998</v>
      </c>
      <c r="Q1098" t="s">
        <v>33</v>
      </c>
      <c r="R1098" t="s">
        <v>34</v>
      </c>
      <c r="S1098" t="s">
        <v>35</v>
      </c>
      <c r="T1098" t="s">
        <v>35</v>
      </c>
      <c r="U1098" t="s">
        <v>34</v>
      </c>
      <c r="V1098" t="str">
        <f>""</f>
        <v/>
      </c>
      <c r="W1098">
        <v>20150209</v>
      </c>
      <c r="X1098" t="s">
        <v>268</v>
      </c>
      <c r="Y1098" t="s">
        <v>573</v>
      </c>
      <c r="Z1098" t="s">
        <v>573</v>
      </c>
      <c r="AA1098">
        <v>0</v>
      </c>
      <c r="AB1098" t="s">
        <v>238</v>
      </c>
      <c r="AC1098" t="s">
        <v>143</v>
      </c>
      <c r="AD1098" t="s">
        <v>40</v>
      </c>
      <c r="AE1098" t="str">
        <f t="shared" si="317"/>
        <v>02</v>
      </c>
      <c r="AF1098" t="s">
        <v>40</v>
      </c>
    </row>
    <row r="1099" spans="1:32" x14ac:dyDescent="0.25">
      <c r="A1099">
        <v>5</v>
      </c>
      <c r="B1099">
        <v>420</v>
      </c>
      <c r="C1099" t="str">
        <f>"51"</f>
        <v>51</v>
      </c>
      <c r="D1099">
        <v>6259</v>
      </c>
      <c r="E1099" t="str">
        <f>"50"</f>
        <v>50</v>
      </c>
      <c r="F1099" t="str">
        <f t="shared" si="319"/>
        <v>999</v>
      </c>
      <c r="G1099">
        <v>5</v>
      </c>
      <c r="H1099" t="str">
        <f t="shared" si="321"/>
        <v>99</v>
      </c>
      <c r="I1099" t="str">
        <f t="shared" si="318"/>
        <v>0</v>
      </c>
      <c r="J1099" t="str">
        <f t="shared" si="316"/>
        <v>00</v>
      </c>
      <c r="K1099">
        <v>20150212</v>
      </c>
      <c r="L1099" t="str">
        <f>"014787"</f>
        <v>014787</v>
      </c>
      <c r="M1099" t="str">
        <f>"00162"</f>
        <v>00162</v>
      </c>
      <c r="N1099" t="s">
        <v>242</v>
      </c>
      <c r="O1099">
        <v>690.14</v>
      </c>
      <c r="Q1099" t="s">
        <v>33</v>
      </c>
      <c r="R1099" t="s">
        <v>34</v>
      </c>
      <c r="S1099" t="s">
        <v>35</v>
      </c>
      <c r="T1099" t="s">
        <v>35</v>
      </c>
      <c r="U1099" t="s">
        <v>34</v>
      </c>
      <c r="V1099" t="str">
        <f>""</f>
        <v/>
      </c>
      <c r="W1099">
        <v>20150211</v>
      </c>
      <c r="X1099" t="s">
        <v>374</v>
      </c>
      <c r="Y1099" t="s">
        <v>375</v>
      </c>
      <c r="Z1099" t="s">
        <v>375</v>
      </c>
      <c r="AA1099">
        <v>0</v>
      </c>
      <c r="AB1099" t="s">
        <v>142</v>
      </c>
      <c r="AC1099" t="s">
        <v>143</v>
      </c>
      <c r="AD1099" t="s">
        <v>40</v>
      </c>
      <c r="AE1099" t="str">
        <f t="shared" si="317"/>
        <v>02</v>
      </c>
      <c r="AF1099" t="s">
        <v>40</v>
      </c>
    </row>
    <row r="1100" spans="1:32" x14ac:dyDescent="0.25">
      <c r="A1100">
        <v>5</v>
      </c>
      <c r="B1100">
        <v>420</v>
      </c>
      <c r="C1100" t="str">
        <f t="shared" ref="C1100:C1116" si="324">"11"</f>
        <v>11</v>
      </c>
      <c r="D1100">
        <v>6315</v>
      </c>
      <c r="E1100" t="str">
        <f t="shared" ref="E1100:E1116" si="325">"00"</f>
        <v>00</v>
      </c>
      <c r="F1100" t="str">
        <f>"101"</f>
        <v>101</v>
      </c>
      <c r="G1100">
        <v>5</v>
      </c>
      <c r="H1100" t="str">
        <f t="shared" ref="H1100:H1116" si="326">"11"</f>
        <v>11</v>
      </c>
      <c r="I1100" t="str">
        <f t="shared" si="318"/>
        <v>0</v>
      </c>
      <c r="J1100" t="str">
        <f t="shared" si="316"/>
        <v>00</v>
      </c>
      <c r="K1100">
        <v>20150212</v>
      </c>
      <c r="L1100" t="str">
        <f>"014788"</f>
        <v>014788</v>
      </c>
      <c r="M1100" t="str">
        <f>"00310"</f>
        <v>00310</v>
      </c>
      <c r="N1100" t="s">
        <v>589</v>
      </c>
      <c r="O1100">
        <v>706.84</v>
      </c>
      <c r="Q1100" t="s">
        <v>33</v>
      </c>
      <c r="R1100" t="s">
        <v>34</v>
      </c>
      <c r="S1100" t="s">
        <v>35</v>
      </c>
      <c r="T1100" t="s">
        <v>35</v>
      </c>
      <c r="U1100" t="s">
        <v>34</v>
      </c>
      <c r="V1100" t="str">
        <f>""</f>
        <v/>
      </c>
      <c r="W1100">
        <v>20150212</v>
      </c>
      <c r="X1100" t="s">
        <v>482</v>
      </c>
      <c r="Y1100" t="s">
        <v>418</v>
      </c>
      <c r="Z1100" t="s">
        <v>418</v>
      </c>
      <c r="AA1100">
        <v>0</v>
      </c>
      <c r="AB1100" t="s">
        <v>142</v>
      </c>
      <c r="AC1100" t="s">
        <v>41</v>
      </c>
      <c r="AD1100" t="s">
        <v>40</v>
      </c>
      <c r="AE1100" t="str">
        <f t="shared" si="317"/>
        <v>02</v>
      </c>
      <c r="AF1100" t="s">
        <v>40</v>
      </c>
    </row>
    <row r="1101" spans="1:32" x14ac:dyDescent="0.25">
      <c r="A1101">
        <v>5</v>
      </c>
      <c r="B1101">
        <v>420</v>
      </c>
      <c r="C1101" t="str">
        <f t="shared" si="324"/>
        <v>11</v>
      </c>
      <c r="D1101">
        <v>6399</v>
      </c>
      <c r="E1101" t="str">
        <f t="shared" si="325"/>
        <v>00</v>
      </c>
      <c r="F1101" t="str">
        <f>"101"</f>
        <v>101</v>
      </c>
      <c r="G1101">
        <v>5</v>
      </c>
      <c r="H1101" t="str">
        <f t="shared" si="326"/>
        <v>11</v>
      </c>
      <c r="I1101" t="str">
        <f t="shared" si="318"/>
        <v>0</v>
      </c>
      <c r="J1101" t="str">
        <f t="shared" si="316"/>
        <v>00</v>
      </c>
      <c r="K1101">
        <v>20150212</v>
      </c>
      <c r="L1101" t="str">
        <f>"014788"</f>
        <v>014788</v>
      </c>
      <c r="M1101" t="str">
        <f>"00310"</f>
        <v>00310</v>
      </c>
      <c r="N1101" t="s">
        <v>589</v>
      </c>
      <c r="O1101">
        <v>321.83999999999997</v>
      </c>
      <c r="Q1101" t="s">
        <v>33</v>
      </c>
      <c r="R1101" t="s">
        <v>34</v>
      </c>
      <c r="S1101" t="s">
        <v>35</v>
      </c>
      <c r="T1101" t="s">
        <v>35</v>
      </c>
      <c r="U1101" t="s">
        <v>34</v>
      </c>
      <c r="V1101" t="str">
        <f>""</f>
        <v/>
      </c>
      <c r="W1101">
        <v>20150211</v>
      </c>
      <c r="X1101" t="s">
        <v>246</v>
      </c>
      <c r="Y1101" t="s">
        <v>712</v>
      </c>
      <c r="Z1101" t="s">
        <v>712</v>
      </c>
      <c r="AA1101">
        <v>0</v>
      </c>
      <c r="AB1101" t="s">
        <v>142</v>
      </c>
      <c r="AC1101" t="s">
        <v>41</v>
      </c>
      <c r="AD1101" t="s">
        <v>40</v>
      </c>
      <c r="AE1101" t="str">
        <f t="shared" si="317"/>
        <v>02</v>
      </c>
      <c r="AF1101" t="s">
        <v>40</v>
      </c>
    </row>
    <row r="1102" spans="1:32" x14ac:dyDescent="0.25">
      <c r="A1102">
        <v>5</v>
      </c>
      <c r="B1102">
        <v>420</v>
      </c>
      <c r="C1102" t="str">
        <f t="shared" si="324"/>
        <v>11</v>
      </c>
      <c r="D1102">
        <v>6315</v>
      </c>
      <c r="E1102" t="str">
        <f t="shared" si="325"/>
        <v>00</v>
      </c>
      <c r="F1102" t="str">
        <f>"001"</f>
        <v>001</v>
      </c>
      <c r="G1102">
        <v>5</v>
      </c>
      <c r="H1102" t="str">
        <f t="shared" si="326"/>
        <v>11</v>
      </c>
      <c r="I1102" t="str">
        <f t="shared" si="318"/>
        <v>0</v>
      </c>
      <c r="J1102" t="str">
        <f t="shared" si="316"/>
        <v>00</v>
      </c>
      <c r="K1102">
        <v>20150212</v>
      </c>
      <c r="L1102" t="str">
        <f t="shared" ref="L1102:L1116" si="327">"014789"</f>
        <v>014789</v>
      </c>
      <c r="M1102" t="str">
        <f t="shared" ref="M1102:M1116" si="328">"00701"</f>
        <v>00701</v>
      </c>
      <c r="N1102" t="s">
        <v>120</v>
      </c>
      <c r="O1102">
        <v>24.61</v>
      </c>
      <c r="Q1102" t="s">
        <v>33</v>
      </c>
      <c r="R1102" t="s">
        <v>34</v>
      </c>
      <c r="S1102" t="s">
        <v>35</v>
      </c>
      <c r="T1102" t="s">
        <v>35</v>
      </c>
      <c r="U1102" t="s">
        <v>34</v>
      </c>
      <c r="V1102" t="str">
        <f>""</f>
        <v/>
      </c>
      <c r="W1102">
        <v>20150209</v>
      </c>
      <c r="X1102" t="s">
        <v>426</v>
      </c>
      <c r="Y1102" t="s">
        <v>713</v>
      </c>
      <c r="Z1102" t="s">
        <v>713</v>
      </c>
      <c r="AA1102">
        <v>0</v>
      </c>
      <c r="AB1102" t="s">
        <v>142</v>
      </c>
      <c r="AC1102" t="s">
        <v>41</v>
      </c>
      <c r="AD1102" t="s">
        <v>40</v>
      </c>
      <c r="AE1102" t="str">
        <f t="shared" si="317"/>
        <v>02</v>
      </c>
      <c r="AF1102" t="s">
        <v>40</v>
      </c>
    </row>
    <row r="1103" spans="1:32" x14ac:dyDescent="0.25">
      <c r="A1103">
        <v>5</v>
      </c>
      <c r="B1103">
        <v>420</v>
      </c>
      <c r="C1103" t="str">
        <f t="shared" si="324"/>
        <v>11</v>
      </c>
      <c r="D1103">
        <v>6315</v>
      </c>
      <c r="E1103" t="str">
        <f t="shared" si="325"/>
        <v>00</v>
      </c>
      <c r="F1103" t="str">
        <f>"001"</f>
        <v>001</v>
      </c>
      <c r="G1103">
        <v>5</v>
      </c>
      <c r="H1103" t="str">
        <f t="shared" si="326"/>
        <v>11</v>
      </c>
      <c r="I1103" t="str">
        <f t="shared" si="318"/>
        <v>0</v>
      </c>
      <c r="J1103" t="str">
        <f t="shared" si="316"/>
        <v>00</v>
      </c>
      <c r="K1103">
        <v>20150212</v>
      </c>
      <c r="L1103" t="str">
        <f t="shared" si="327"/>
        <v>014789</v>
      </c>
      <c r="M1103" t="str">
        <f t="shared" si="328"/>
        <v>00701</v>
      </c>
      <c r="N1103" t="s">
        <v>120</v>
      </c>
      <c r="O1103">
        <v>522.91999999999996</v>
      </c>
      <c r="Q1103" t="s">
        <v>33</v>
      </c>
      <c r="R1103" t="s">
        <v>34</v>
      </c>
      <c r="S1103" t="s">
        <v>35</v>
      </c>
      <c r="T1103" t="s">
        <v>35</v>
      </c>
      <c r="U1103" t="s">
        <v>34</v>
      </c>
      <c r="V1103" t="str">
        <f>""</f>
        <v/>
      </c>
      <c r="W1103">
        <v>20150209</v>
      </c>
      <c r="X1103" t="s">
        <v>426</v>
      </c>
      <c r="Y1103" t="s">
        <v>713</v>
      </c>
      <c r="Z1103" t="s">
        <v>713</v>
      </c>
      <c r="AA1103">
        <v>0</v>
      </c>
      <c r="AB1103" t="s">
        <v>142</v>
      </c>
      <c r="AC1103" t="s">
        <v>41</v>
      </c>
      <c r="AD1103" t="s">
        <v>40</v>
      </c>
      <c r="AE1103" t="str">
        <f t="shared" si="317"/>
        <v>02</v>
      </c>
      <c r="AF1103" t="s">
        <v>40</v>
      </c>
    </row>
    <row r="1104" spans="1:32" x14ac:dyDescent="0.25">
      <c r="A1104">
        <v>5</v>
      </c>
      <c r="B1104">
        <v>420</v>
      </c>
      <c r="C1104" t="str">
        <f t="shared" si="324"/>
        <v>11</v>
      </c>
      <c r="D1104">
        <v>6315</v>
      </c>
      <c r="E1104" t="str">
        <f t="shared" si="325"/>
        <v>00</v>
      </c>
      <c r="F1104" t="str">
        <f>"001"</f>
        <v>001</v>
      </c>
      <c r="G1104">
        <v>5</v>
      </c>
      <c r="H1104" t="str">
        <f t="shared" si="326"/>
        <v>11</v>
      </c>
      <c r="I1104" t="str">
        <f t="shared" si="318"/>
        <v>0</v>
      </c>
      <c r="J1104" t="str">
        <f t="shared" si="316"/>
        <v>00</v>
      </c>
      <c r="K1104">
        <v>20150212</v>
      </c>
      <c r="L1104" t="str">
        <f t="shared" si="327"/>
        <v>014789</v>
      </c>
      <c r="M1104" t="str">
        <f t="shared" si="328"/>
        <v>00701</v>
      </c>
      <c r="N1104" t="s">
        <v>120</v>
      </c>
      <c r="O1104">
        <v>204.96</v>
      </c>
      <c r="Q1104" t="s">
        <v>33</v>
      </c>
      <c r="R1104" t="s">
        <v>34</v>
      </c>
      <c r="S1104" t="s">
        <v>35</v>
      </c>
      <c r="T1104" t="s">
        <v>35</v>
      </c>
      <c r="U1104" t="s">
        <v>34</v>
      </c>
      <c r="V1104" t="str">
        <f>""</f>
        <v/>
      </c>
      <c r="W1104">
        <v>20150209</v>
      </c>
      <c r="X1104" t="s">
        <v>426</v>
      </c>
      <c r="Y1104" t="s">
        <v>713</v>
      </c>
      <c r="Z1104" t="s">
        <v>713</v>
      </c>
      <c r="AA1104">
        <v>0</v>
      </c>
      <c r="AB1104" t="s">
        <v>142</v>
      </c>
      <c r="AC1104" t="s">
        <v>41</v>
      </c>
      <c r="AD1104" t="s">
        <v>40</v>
      </c>
      <c r="AE1104" t="str">
        <f t="shared" si="317"/>
        <v>02</v>
      </c>
      <c r="AF1104" t="s">
        <v>40</v>
      </c>
    </row>
    <row r="1105" spans="1:32" x14ac:dyDescent="0.25">
      <c r="A1105">
        <v>5</v>
      </c>
      <c r="B1105">
        <v>420</v>
      </c>
      <c r="C1105" t="str">
        <f t="shared" si="324"/>
        <v>11</v>
      </c>
      <c r="D1105">
        <v>6315</v>
      </c>
      <c r="E1105" t="str">
        <f t="shared" si="325"/>
        <v>00</v>
      </c>
      <c r="F1105" t="str">
        <f>"041"</f>
        <v>041</v>
      </c>
      <c r="G1105">
        <v>5</v>
      </c>
      <c r="H1105" t="str">
        <f t="shared" si="326"/>
        <v>11</v>
      </c>
      <c r="I1105" t="str">
        <f t="shared" si="318"/>
        <v>0</v>
      </c>
      <c r="J1105" t="str">
        <f t="shared" si="316"/>
        <v>00</v>
      </c>
      <c r="K1105">
        <v>20150212</v>
      </c>
      <c r="L1105" t="str">
        <f t="shared" si="327"/>
        <v>014789</v>
      </c>
      <c r="M1105" t="str">
        <f t="shared" si="328"/>
        <v>00701</v>
      </c>
      <c r="N1105" t="s">
        <v>120</v>
      </c>
      <c r="O1105">
        <v>24.6</v>
      </c>
      <c r="Q1105" t="s">
        <v>33</v>
      </c>
      <c r="R1105" t="s">
        <v>34</v>
      </c>
      <c r="S1105" t="s">
        <v>35</v>
      </c>
      <c r="T1105" t="s">
        <v>35</v>
      </c>
      <c r="U1105" t="s">
        <v>34</v>
      </c>
      <c r="V1105" t="str">
        <f>""</f>
        <v/>
      </c>
      <c r="W1105">
        <v>20150209</v>
      </c>
      <c r="X1105" t="s">
        <v>428</v>
      </c>
      <c r="Y1105" t="s">
        <v>713</v>
      </c>
      <c r="Z1105" t="s">
        <v>713</v>
      </c>
      <c r="AA1105">
        <v>0</v>
      </c>
      <c r="AB1105" t="s">
        <v>142</v>
      </c>
      <c r="AC1105" t="s">
        <v>41</v>
      </c>
      <c r="AD1105" t="s">
        <v>40</v>
      </c>
      <c r="AE1105" t="str">
        <f t="shared" si="317"/>
        <v>02</v>
      </c>
      <c r="AF1105" t="s">
        <v>40</v>
      </c>
    </row>
    <row r="1106" spans="1:32" x14ac:dyDescent="0.25">
      <c r="A1106">
        <v>5</v>
      </c>
      <c r="B1106">
        <v>420</v>
      </c>
      <c r="C1106" t="str">
        <f t="shared" si="324"/>
        <v>11</v>
      </c>
      <c r="D1106">
        <v>6315</v>
      </c>
      <c r="E1106" t="str">
        <f t="shared" si="325"/>
        <v>00</v>
      </c>
      <c r="F1106" t="str">
        <f>"041"</f>
        <v>041</v>
      </c>
      <c r="G1106">
        <v>5</v>
      </c>
      <c r="H1106" t="str">
        <f t="shared" si="326"/>
        <v>11</v>
      </c>
      <c r="I1106" t="str">
        <f t="shared" si="318"/>
        <v>0</v>
      </c>
      <c r="J1106" t="str">
        <f t="shared" si="316"/>
        <v>00</v>
      </c>
      <c r="K1106">
        <v>20150212</v>
      </c>
      <c r="L1106" t="str">
        <f t="shared" si="327"/>
        <v>014789</v>
      </c>
      <c r="M1106" t="str">
        <f t="shared" si="328"/>
        <v>00701</v>
      </c>
      <c r="N1106" t="s">
        <v>120</v>
      </c>
      <c r="O1106">
        <v>123.04</v>
      </c>
      <c r="Q1106" t="s">
        <v>33</v>
      </c>
      <c r="R1106" t="s">
        <v>34</v>
      </c>
      <c r="S1106" t="s">
        <v>35</v>
      </c>
      <c r="T1106" t="s">
        <v>35</v>
      </c>
      <c r="U1106" t="s">
        <v>34</v>
      </c>
      <c r="V1106" t="str">
        <f>""</f>
        <v/>
      </c>
      <c r="W1106">
        <v>20150209</v>
      </c>
      <c r="X1106" t="s">
        <v>428</v>
      </c>
      <c r="Y1106" t="s">
        <v>713</v>
      </c>
      <c r="Z1106" t="s">
        <v>713</v>
      </c>
      <c r="AA1106">
        <v>0</v>
      </c>
      <c r="AB1106" t="s">
        <v>142</v>
      </c>
      <c r="AC1106" t="s">
        <v>41</v>
      </c>
      <c r="AD1106" t="s">
        <v>40</v>
      </c>
      <c r="AE1106" t="str">
        <f t="shared" si="317"/>
        <v>02</v>
      </c>
      <c r="AF1106" t="s">
        <v>40</v>
      </c>
    </row>
    <row r="1107" spans="1:32" x14ac:dyDescent="0.25">
      <c r="A1107">
        <v>5</v>
      </c>
      <c r="B1107">
        <v>420</v>
      </c>
      <c r="C1107" t="str">
        <f t="shared" si="324"/>
        <v>11</v>
      </c>
      <c r="D1107">
        <v>6315</v>
      </c>
      <c r="E1107" t="str">
        <f t="shared" si="325"/>
        <v>00</v>
      </c>
      <c r="F1107" t="str">
        <f>"041"</f>
        <v>041</v>
      </c>
      <c r="G1107">
        <v>5</v>
      </c>
      <c r="H1107" t="str">
        <f t="shared" si="326"/>
        <v>11</v>
      </c>
      <c r="I1107" t="str">
        <f t="shared" si="318"/>
        <v>0</v>
      </c>
      <c r="J1107" t="str">
        <f t="shared" si="316"/>
        <v>00</v>
      </c>
      <c r="K1107">
        <v>20150212</v>
      </c>
      <c r="L1107" t="str">
        <f t="shared" si="327"/>
        <v>014789</v>
      </c>
      <c r="M1107" t="str">
        <f t="shared" si="328"/>
        <v>00701</v>
      </c>
      <c r="N1107" t="s">
        <v>120</v>
      </c>
      <c r="O1107">
        <v>204.96</v>
      </c>
      <c r="Q1107" t="s">
        <v>33</v>
      </c>
      <c r="R1107" t="s">
        <v>34</v>
      </c>
      <c r="S1107" t="s">
        <v>35</v>
      </c>
      <c r="T1107" t="s">
        <v>35</v>
      </c>
      <c r="U1107" t="s">
        <v>34</v>
      </c>
      <c r="V1107" t="str">
        <f>""</f>
        <v/>
      </c>
      <c r="W1107">
        <v>20150209</v>
      </c>
      <c r="X1107" t="s">
        <v>428</v>
      </c>
      <c r="Y1107" t="s">
        <v>713</v>
      </c>
      <c r="Z1107" t="s">
        <v>713</v>
      </c>
      <c r="AA1107">
        <v>0</v>
      </c>
      <c r="AB1107" t="s">
        <v>142</v>
      </c>
      <c r="AC1107" t="s">
        <v>41</v>
      </c>
      <c r="AD1107" t="s">
        <v>40</v>
      </c>
      <c r="AE1107" t="str">
        <f t="shared" si="317"/>
        <v>02</v>
      </c>
      <c r="AF1107" t="s">
        <v>40</v>
      </c>
    </row>
    <row r="1108" spans="1:32" x14ac:dyDescent="0.25">
      <c r="A1108">
        <v>5</v>
      </c>
      <c r="B1108">
        <v>420</v>
      </c>
      <c r="C1108" t="str">
        <f t="shared" si="324"/>
        <v>11</v>
      </c>
      <c r="D1108">
        <v>6315</v>
      </c>
      <c r="E1108" t="str">
        <f t="shared" si="325"/>
        <v>00</v>
      </c>
      <c r="F1108" t="str">
        <f>"101"</f>
        <v>101</v>
      </c>
      <c r="G1108">
        <v>5</v>
      </c>
      <c r="H1108" t="str">
        <f t="shared" si="326"/>
        <v>11</v>
      </c>
      <c r="I1108" t="str">
        <f t="shared" si="318"/>
        <v>0</v>
      </c>
      <c r="J1108" t="str">
        <f t="shared" si="316"/>
        <v>00</v>
      </c>
      <c r="K1108">
        <v>20150212</v>
      </c>
      <c r="L1108" t="str">
        <f t="shared" si="327"/>
        <v>014789</v>
      </c>
      <c r="M1108" t="str">
        <f t="shared" si="328"/>
        <v>00701</v>
      </c>
      <c r="N1108" t="s">
        <v>120</v>
      </c>
      <c r="O1108">
        <v>104.58</v>
      </c>
      <c r="Q1108" t="s">
        <v>33</v>
      </c>
      <c r="R1108" t="s">
        <v>34</v>
      </c>
      <c r="S1108" t="s">
        <v>35</v>
      </c>
      <c r="T1108" t="s">
        <v>35</v>
      </c>
      <c r="U1108" t="s">
        <v>34</v>
      </c>
      <c r="V1108" t="str">
        <f>""</f>
        <v/>
      </c>
      <c r="W1108">
        <v>20150209</v>
      </c>
      <c r="X1108" t="s">
        <v>482</v>
      </c>
      <c r="Y1108" t="s">
        <v>713</v>
      </c>
      <c r="Z1108" t="s">
        <v>713</v>
      </c>
      <c r="AA1108">
        <v>0</v>
      </c>
      <c r="AB1108" t="s">
        <v>142</v>
      </c>
      <c r="AC1108" t="s">
        <v>41</v>
      </c>
      <c r="AD1108" t="s">
        <v>40</v>
      </c>
      <c r="AE1108" t="str">
        <f t="shared" si="317"/>
        <v>02</v>
      </c>
      <c r="AF1108" t="s">
        <v>40</v>
      </c>
    </row>
    <row r="1109" spans="1:32" x14ac:dyDescent="0.25">
      <c r="A1109">
        <v>5</v>
      </c>
      <c r="B1109">
        <v>420</v>
      </c>
      <c r="C1109" t="str">
        <f t="shared" si="324"/>
        <v>11</v>
      </c>
      <c r="D1109">
        <v>6315</v>
      </c>
      <c r="E1109" t="str">
        <f t="shared" si="325"/>
        <v>00</v>
      </c>
      <c r="F1109" t="str">
        <f>"101"</f>
        <v>101</v>
      </c>
      <c r="G1109">
        <v>5</v>
      </c>
      <c r="H1109" t="str">
        <f t="shared" si="326"/>
        <v>11</v>
      </c>
      <c r="I1109" t="str">
        <f t="shared" si="318"/>
        <v>0</v>
      </c>
      <c r="J1109" t="str">
        <f t="shared" si="316"/>
        <v>00</v>
      </c>
      <c r="K1109">
        <v>20150212</v>
      </c>
      <c r="L1109" t="str">
        <f t="shared" si="327"/>
        <v>014789</v>
      </c>
      <c r="M1109" t="str">
        <f t="shared" si="328"/>
        <v>00701</v>
      </c>
      <c r="N1109" t="s">
        <v>120</v>
      </c>
      <c r="O1109">
        <v>123.04</v>
      </c>
      <c r="Q1109" t="s">
        <v>33</v>
      </c>
      <c r="R1109" t="s">
        <v>34</v>
      </c>
      <c r="S1109" t="s">
        <v>35</v>
      </c>
      <c r="T1109" t="s">
        <v>35</v>
      </c>
      <c r="U1109" t="s">
        <v>34</v>
      </c>
      <c r="V1109" t="str">
        <f>""</f>
        <v/>
      </c>
      <c r="W1109">
        <v>20150209</v>
      </c>
      <c r="X1109" t="s">
        <v>482</v>
      </c>
      <c r="Y1109" t="s">
        <v>713</v>
      </c>
      <c r="Z1109" t="s">
        <v>713</v>
      </c>
      <c r="AA1109">
        <v>0</v>
      </c>
      <c r="AB1109" t="s">
        <v>142</v>
      </c>
      <c r="AC1109" t="s">
        <v>41</v>
      </c>
      <c r="AD1109" t="s">
        <v>40</v>
      </c>
      <c r="AE1109" t="str">
        <f t="shared" si="317"/>
        <v>02</v>
      </c>
      <c r="AF1109" t="s">
        <v>40</v>
      </c>
    </row>
    <row r="1110" spans="1:32" x14ac:dyDescent="0.25">
      <c r="A1110">
        <v>5</v>
      </c>
      <c r="B1110">
        <v>420</v>
      </c>
      <c r="C1110" t="str">
        <f t="shared" si="324"/>
        <v>11</v>
      </c>
      <c r="D1110">
        <v>6315</v>
      </c>
      <c r="E1110" t="str">
        <f t="shared" si="325"/>
        <v>00</v>
      </c>
      <c r="F1110" t="str">
        <f>"101"</f>
        <v>101</v>
      </c>
      <c r="G1110">
        <v>5</v>
      </c>
      <c r="H1110" t="str">
        <f t="shared" si="326"/>
        <v>11</v>
      </c>
      <c r="I1110" t="str">
        <f t="shared" si="318"/>
        <v>0</v>
      </c>
      <c r="J1110" t="str">
        <f t="shared" si="316"/>
        <v>00</v>
      </c>
      <c r="K1110">
        <v>20150212</v>
      </c>
      <c r="L1110" t="str">
        <f t="shared" si="327"/>
        <v>014789</v>
      </c>
      <c r="M1110" t="str">
        <f t="shared" si="328"/>
        <v>00701</v>
      </c>
      <c r="N1110" t="s">
        <v>120</v>
      </c>
      <c r="O1110">
        <v>204.96</v>
      </c>
      <c r="Q1110" t="s">
        <v>33</v>
      </c>
      <c r="R1110" t="s">
        <v>34</v>
      </c>
      <c r="S1110" t="s">
        <v>35</v>
      </c>
      <c r="T1110" t="s">
        <v>35</v>
      </c>
      <c r="U1110" t="s">
        <v>34</v>
      </c>
      <c r="V1110" t="str">
        <f>""</f>
        <v/>
      </c>
      <c r="W1110">
        <v>20150209</v>
      </c>
      <c r="X1110" t="s">
        <v>482</v>
      </c>
      <c r="Y1110" t="s">
        <v>713</v>
      </c>
      <c r="Z1110" t="s">
        <v>713</v>
      </c>
      <c r="AA1110">
        <v>0</v>
      </c>
      <c r="AB1110" t="s">
        <v>142</v>
      </c>
      <c r="AC1110" t="s">
        <v>41</v>
      </c>
      <c r="AD1110" t="s">
        <v>40</v>
      </c>
      <c r="AE1110" t="str">
        <f t="shared" si="317"/>
        <v>02</v>
      </c>
      <c r="AF1110" t="s">
        <v>40</v>
      </c>
    </row>
    <row r="1111" spans="1:32" x14ac:dyDescent="0.25">
      <c r="A1111">
        <v>5</v>
      </c>
      <c r="B1111">
        <v>420</v>
      </c>
      <c r="C1111" t="str">
        <f t="shared" si="324"/>
        <v>11</v>
      </c>
      <c r="D1111">
        <v>6399</v>
      </c>
      <c r="E1111" t="str">
        <f t="shared" si="325"/>
        <v>00</v>
      </c>
      <c r="F1111" t="str">
        <f>"001"</f>
        <v>001</v>
      </c>
      <c r="G1111">
        <v>5</v>
      </c>
      <c r="H1111" t="str">
        <f t="shared" si="326"/>
        <v>11</v>
      </c>
      <c r="I1111" t="str">
        <f t="shared" si="318"/>
        <v>0</v>
      </c>
      <c r="J1111" t="str">
        <f t="shared" si="316"/>
        <v>00</v>
      </c>
      <c r="K1111">
        <v>20150212</v>
      </c>
      <c r="L1111" t="str">
        <f t="shared" si="327"/>
        <v>014789</v>
      </c>
      <c r="M1111" t="str">
        <f t="shared" si="328"/>
        <v>00701</v>
      </c>
      <c r="N1111" t="s">
        <v>120</v>
      </c>
      <c r="O1111">
        <v>49.92</v>
      </c>
      <c r="Q1111" t="s">
        <v>33</v>
      </c>
      <c r="R1111" t="s">
        <v>34</v>
      </c>
      <c r="S1111" t="s">
        <v>35</v>
      </c>
      <c r="T1111" t="s">
        <v>35</v>
      </c>
      <c r="U1111" t="s">
        <v>34</v>
      </c>
      <c r="V1111" t="str">
        <f>""</f>
        <v/>
      </c>
      <c r="W1111">
        <v>20150209</v>
      </c>
      <c r="X1111" t="s">
        <v>239</v>
      </c>
      <c r="Y1111" t="s">
        <v>714</v>
      </c>
      <c r="Z1111" t="s">
        <v>714</v>
      </c>
      <c r="AA1111">
        <v>0</v>
      </c>
      <c r="AB1111" t="s">
        <v>142</v>
      </c>
      <c r="AC1111" t="s">
        <v>41</v>
      </c>
      <c r="AD1111" t="s">
        <v>40</v>
      </c>
      <c r="AE1111" t="str">
        <f t="shared" si="317"/>
        <v>02</v>
      </c>
      <c r="AF1111" t="s">
        <v>40</v>
      </c>
    </row>
    <row r="1112" spans="1:32" x14ac:dyDescent="0.25">
      <c r="A1112">
        <v>5</v>
      </c>
      <c r="B1112">
        <v>420</v>
      </c>
      <c r="C1112" t="str">
        <f t="shared" si="324"/>
        <v>11</v>
      </c>
      <c r="D1112">
        <v>6399</v>
      </c>
      <c r="E1112" t="str">
        <f t="shared" si="325"/>
        <v>00</v>
      </c>
      <c r="F1112" t="str">
        <f>"001"</f>
        <v>001</v>
      </c>
      <c r="G1112">
        <v>5</v>
      </c>
      <c r="H1112" t="str">
        <f t="shared" si="326"/>
        <v>11</v>
      </c>
      <c r="I1112" t="str">
        <f t="shared" si="318"/>
        <v>0</v>
      </c>
      <c r="J1112" t="str">
        <f t="shared" si="316"/>
        <v>00</v>
      </c>
      <c r="K1112">
        <v>20150212</v>
      </c>
      <c r="L1112" t="str">
        <f t="shared" si="327"/>
        <v>014789</v>
      </c>
      <c r="M1112" t="str">
        <f t="shared" si="328"/>
        <v>00701</v>
      </c>
      <c r="N1112" t="s">
        <v>120</v>
      </c>
      <c r="O1112">
        <v>52.44</v>
      </c>
      <c r="Q1112" t="s">
        <v>33</v>
      </c>
      <c r="R1112" t="s">
        <v>34</v>
      </c>
      <c r="S1112" t="s">
        <v>35</v>
      </c>
      <c r="T1112" t="s">
        <v>35</v>
      </c>
      <c r="U1112" t="s">
        <v>34</v>
      </c>
      <c r="V1112" t="str">
        <f>""</f>
        <v/>
      </c>
      <c r="W1112">
        <v>20150209</v>
      </c>
      <c r="X1112" t="s">
        <v>239</v>
      </c>
      <c r="Y1112" t="s">
        <v>713</v>
      </c>
      <c r="Z1112" t="s">
        <v>713</v>
      </c>
      <c r="AA1112">
        <v>0</v>
      </c>
      <c r="AB1112" t="s">
        <v>142</v>
      </c>
      <c r="AC1112" t="s">
        <v>41</v>
      </c>
      <c r="AD1112" t="s">
        <v>40</v>
      </c>
      <c r="AE1112" t="str">
        <f t="shared" si="317"/>
        <v>02</v>
      </c>
      <c r="AF1112" t="s">
        <v>40</v>
      </c>
    </row>
    <row r="1113" spans="1:32" x14ac:dyDescent="0.25">
      <c r="A1113">
        <v>5</v>
      </c>
      <c r="B1113">
        <v>420</v>
      </c>
      <c r="C1113" t="str">
        <f t="shared" si="324"/>
        <v>11</v>
      </c>
      <c r="D1113">
        <v>6399</v>
      </c>
      <c r="E1113" t="str">
        <f t="shared" si="325"/>
        <v>00</v>
      </c>
      <c r="F1113" t="str">
        <f>"041"</f>
        <v>041</v>
      </c>
      <c r="G1113">
        <v>5</v>
      </c>
      <c r="H1113" t="str">
        <f t="shared" si="326"/>
        <v>11</v>
      </c>
      <c r="I1113" t="str">
        <f t="shared" si="318"/>
        <v>0</v>
      </c>
      <c r="J1113" t="str">
        <f t="shared" si="316"/>
        <v>00</v>
      </c>
      <c r="K1113">
        <v>20150212</v>
      </c>
      <c r="L1113" t="str">
        <f t="shared" si="327"/>
        <v>014789</v>
      </c>
      <c r="M1113" t="str">
        <f t="shared" si="328"/>
        <v>00701</v>
      </c>
      <c r="N1113" t="s">
        <v>120</v>
      </c>
      <c r="O1113">
        <v>49.92</v>
      </c>
      <c r="Q1113" t="s">
        <v>33</v>
      </c>
      <c r="R1113" t="s">
        <v>34</v>
      </c>
      <c r="S1113" t="s">
        <v>35</v>
      </c>
      <c r="T1113" t="s">
        <v>35</v>
      </c>
      <c r="U1113" t="s">
        <v>34</v>
      </c>
      <c r="V1113" t="str">
        <f>""</f>
        <v/>
      </c>
      <c r="W1113">
        <v>20150209</v>
      </c>
      <c r="X1113" t="s">
        <v>241</v>
      </c>
      <c r="Y1113" t="s">
        <v>714</v>
      </c>
      <c r="Z1113" t="s">
        <v>714</v>
      </c>
      <c r="AA1113">
        <v>0</v>
      </c>
      <c r="AB1113" t="s">
        <v>142</v>
      </c>
      <c r="AC1113" t="s">
        <v>41</v>
      </c>
      <c r="AD1113" t="s">
        <v>40</v>
      </c>
      <c r="AE1113" t="str">
        <f t="shared" si="317"/>
        <v>02</v>
      </c>
      <c r="AF1113" t="s">
        <v>40</v>
      </c>
    </row>
    <row r="1114" spans="1:32" x14ac:dyDescent="0.25">
      <c r="A1114">
        <v>5</v>
      </c>
      <c r="B1114">
        <v>420</v>
      </c>
      <c r="C1114" t="str">
        <f t="shared" si="324"/>
        <v>11</v>
      </c>
      <c r="D1114">
        <v>6399</v>
      </c>
      <c r="E1114" t="str">
        <f t="shared" si="325"/>
        <v>00</v>
      </c>
      <c r="F1114" t="str">
        <f>"041"</f>
        <v>041</v>
      </c>
      <c r="G1114">
        <v>5</v>
      </c>
      <c r="H1114" t="str">
        <f t="shared" si="326"/>
        <v>11</v>
      </c>
      <c r="I1114" t="str">
        <f t="shared" si="318"/>
        <v>0</v>
      </c>
      <c r="J1114" t="str">
        <f t="shared" si="316"/>
        <v>00</v>
      </c>
      <c r="K1114">
        <v>20150212</v>
      </c>
      <c r="L1114" t="str">
        <f t="shared" si="327"/>
        <v>014789</v>
      </c>
      <c r="M1114" t="str">
        <f t="shared" si="328"/>
        <v>00701</v>
      </c>
      <c r="N1114" t="s">
        <v>120</v>
      </c>
      <c r="O1114">
        <v>51.44</v>
      </c>
      <c r="Q1114" t="s">
        <v>33</v>
      </c>
      <c r="R1114" t="s">
        <v>34</v>
      </c>
      <c r="S1114" t="s">
        <v>35</v>
      </c>
      <c r="T1114" t="s">
        <v>35</v>
      </c>
      <c r="U1114" t="s">
        <v>34</v>
      </c>
      <c r="V1114" t="str">
        <f>""</f>
        <v/>
      </c>
      <c r="W1114">
        <v>20150209</v>
      </c>
      <c r="X1114" t="s">
        <v>241</v>
      </c>
      <c r="Y1114" t="s">
        <v>713</v>
      </c>
      <c r="Z1114" t="s">
        <v>713</v>
      </c>
      <c r="AA1114">
        <v>0</v>
      </c>
      <c r="AB1114" t="s">
        <v>142</v>
      </c>
      <c r="AC1114" t="s">
        <v>41</v>
      </c>
      <c r="AD1114" t="s">
        <v>40</v>
      </c>
      <c r="AE1114" t="str">
        <f t="shared" si="317"/>
        <v>02</v>
      </c>
      <c r="AF1114" t="s">
        <v>40</v>
      </c>
    </row>
    <row r="1115" spans="1:32" x14ac:dyDescent="0.25">
      <c r="A1115">
        <v>5</v>
      </c>
      <c r="B1115">
        <v>420</v>
      </c>
      <c r="C1115" t="str">
        <f t="shared" si="324"/>
        <v>11</v>
      </c>
      <c r="D1115">
        <v>6399</v>
      </c>
      <c r="E1115" t="str">
        <f t="shared" si="325"/>
        <v>00</v>
      </c>
      <c r="F1115" t="str">
        <f>"101"</f>
        <v>101</v>
      </c>
      <c r="G1115">
        <v>5</v>
      </c>
      <c r="H1115" t="str">
        <f t="shared" si="326"/>
        <v>11</v>
      </c>
      <c r="I1115" t="str">
        <f t="shared" si="318"/>
        <v>0</v>
      </c>
      <c r="J1115" t="str">
        <f t="shared" si="316"/>
        <v>00</v>
      </c>
      <c r="K1115">
        <v>20150212</v>
      </c>
      <c r="L1115" t="str">
        <f t="shared" si="327"/>
        <v>014789</v>
      </c>
      <c r="M1115" t="str">
        <f t="shared" si="328"/>
        <v>00701</v>
      </c>
      <c r="N1115" t="s">
        <v>120</v>
      </c>
      <c r="O1115">
        <v>212.13</v>
      </c>
      <c r="Q1115" t="s">
        <v>33</v>
      </c>
      <c r="R1115" t="s">
        <v>34</v>
      </c>
      <c r="S1115" t="s">
        <v>35</v>
      </c>
      <c r="T1115" t="s">
        <v>35</v>
      </c>
      <c r="U1115" t="s">
        <v>34</v>
      </c>
      <c r="V1115" t="str">
        <f>""</f>
        <v/>
      </c>
      <c r="W1115">
        <v>20150209</v>
      </c>
      <c r="X1115" t="s">
        <v>246</v>
      </c>
      <c r="Y1115" t="s">
        <v>714</v>
      </c>
      <c r="Z1115" t="s">
        <v>714</v>
      </c>
      <c r="AA1115">
        <v>0</v>
      </c>
      <c r="AB1115" t="s">
        <v>142</v>
      </c>
      <c r="AC1115" t="s">
        <v>41</v>
      </c>
      <c r="AD1115" t="s">
        <v>40</v>
      </c>
      <c r="AE1115" t="str">
        <f t="shared" si="317"/>
        <v>02</v>
      </c>
      <c r="AF1115" t="s">
        <v>40</v>
      </c>
    </row>
    <row r="1116" spans="1:32" x14ac:dyDescent="0.25">
      <c r="A1116">
        <v>5</v>
      </c>
      <c r="B1116">
        <v>420</v>
      </c>
      <c r="C1116" t="str">
        <f t="shared" si="324"/>
        <v>11</v>
      </c>
      <c r="D1116">
        <v>6399</v>
      </c>
      <c r="E1116" t="str">
        <f t="shared" si="325"/>
        <v>00</v>
      </c>
      <c r="F1116" t="str">
        <f>"101"</f>
        <v>101</v>
      </c>
      <c r="G1116">
        <v>5</v>
      </c>
      <c r="H1116" t="str">
        <f t="shared" si="326"/>
        <v>11</v>
      </c>
      <c r="I1116" t="str">
        <f t="shared" si="318"/>
        <v>0</v>
      </c>
      <c r="J1116" t="str">
        <f t="shared" si="316"/>
        <v>00</v>
      </c>
      <c r="K1116">
        <v>20150212</v>
      </c>
      <c r="L1116" t="str">
        <f t="shared" si="327"/>
        <v>014789</v>
      </c>
      <c r="M1116" t="str">
        <f t="shared" si="328"/>
        <v>00701</v>
      </c>
      <c r="N1116" t="s">
        <v>120</v>
      </c>
      <c r="O1116">
        <v>218.63</v>
      </c>
      <c r="Q1116" t="s">
        <v>33</v>
      </c>
      <c r="R1116" t="s">
        <v>34</v>
      </c>
      <c r="S1116" t="s">
        <v>35</v>
      </c>
      <c r="T1116" t="s">
        <v>35</v>
      </c>
      <c r="U1116" t="s">
        <v>34</v>
      </c>
      <c r="V1116" t="str">
        <f>""</f>
        <v/>
      </c>
      <c r="W1116">
        <v>20150209</v>
      </c>
      <c r="X1116" t="s">
        <v>246</v>
      </c>
      <c r="Y1116" t="s">
        <v>713</v>
      </c>
      <c r="Z1116" t="s">
        <v>713</v>
      </c>
      <c r="AA1116">
        <v>0</v>
      </c>
      <c r="AB1116" t="s">
        <v>142</v>
      </c>
      <c r="AC1116" t="s">
        <v>41</v>
      </c>
      <c r="AD1116" t="s">
        <v>40</v>
      </c>
      <c r="AE1116" t="str">
        <f t="shared" si="317"/>
        <v>02</v>
      </c>
      <c r="AF1116" t="s">
        <v>40</v>
      </c>
    </row>
    <row r="1117" spans="1:32" x14ac:dyDescent="0.25">
      <c r="A1117">
        <v>5</v>
      </c>
      <c r="B1117">
        <v>420</v>
      </c>
      <c r="C1117" t="str">
        <f>"51"</f>
        <v>51</v>
      </c>
      <c r="D1117">
        <v>6259</v>
      </c>
      <c r="E1117" t="str">
        <f>"54"</f>
        <v>54</v>
      </c>
      <c r="F1117" t="str">
        <f t="shared" ref="F1117:F1125" si="329">"999"</f>
        <v>999</v>
      </c>
      <c r="G1117">
        <v>5</v>
      </c>
      <c r="H1117" t="str">
        <f t="shared" ref="H1117:H1125" si="330">"99"</f>
        <v>99</v>
      </c>
      <c r="I1117" t="str">
        <f t="shared" si="318"/>
        <v>0</v>
      </c>
      <c r="J1117" t="str">
        <f t="shared" si="316"/>
        <v>00</v>
      </c>
      <c r="K1117">
        <v>20150212</v>
      </c>
      <c r="L1117" t="str">
        <f>"014790"</f>
        <v>014790</v>
      </c>
      <c r="M1117" t="str">
        <f>"00581"</f>
        <v>00581</v>
      </c>
      <c r="N1117" t="s">
        <v>248</v>
      </c>
      <c r="O1117">
        <v>481.48</v>
      </c>
      <c r="Q1117" t="s">
        <v>33</v>
      </c>
      <c r="R1117" t="s">
        <v>34</v>
      </c>
      <c r="S1117" t="s">
        <v>35</v>
      </c>
      <c r="T1117" t="s">
        <v>35</v>
      </c>
      <c r="U1117" t="s">
        <v>34</v>
      </c>
      <c r="V1117" t="str">
        <f>""</f>
        <v/>
      </c>
      <c r="W1117">
        <v>20150212</v>
      </c>
      <c r="X1117" t="s">
        <v>216</v>
      </c>
      <c r="Y1117" t="s">
        <v>542</v>
      </c>
      <c r="Z1117" t="s">
        <v>542</v>
      </c>
      <c r="AA1117">
        <v>0</v>
      </c>
      <c r="AB1117" t="s">
        <v>142</v>
      </c>
      <c r="AC1117" t="s">
        <v>143</v>
      </c>
      <c r="AD1117" t="s">
        <v>40</v>
      </c>
      <c r="AE1117" t="str">
        <f t="shared" si="317"/>
        <v>02</v>
      </c>
      <c r="AF1117" t="s">
        <v>40</v>
      </c>
    </row>
    <row r="1118" spans="1:32" x14ac:dyDescent="0.25">
      <c r="A1118">
        <v>5</v>
      </c>
      <c r="B1118">
        <v>420</v>
      </c>
      <c r="C1118" t="str">
        <f>"51"</f>
        <v>51</v>
      </c>
      <c r="D1118">
        <v>6299</v>
      </c>
      <c r="E1118" t="str">
        <f>"00"</f>
        <v>00</v>
      </c>
      <c r="F1118" t="str">
        <f t="shared" si="329"/>
        <v>999</v>
      </c>
      <c r="G1118">
        <v>5</v>
      </c>
      <c r="H1118" t="str">
        <f t="shared" si="330"/>
        <v>99</v>
      </c>
      <c r="I1118" t="str">
        <f t="shared" si="318"/>
        <v>0</v>
      </c>
      <c r="J1118" t="str">
        <f t="shared" si="316"/>
        <v>00</v>
      </c>
      <c r="K1118">
        <v>20150212</v>
      </c>
      <c r="L1118" t="str">
        <f>"014791"</f>
        <v>014791</v>
      </c>
      <c r="M1118" t="str">
        <f>"00577"</f>
        <v>00577</v>
      </c>
      <c r="N1118" t="s">
        <v>251</v>
      </c>
      <c r="O1118">
        <v>63.72</v>
      </c>
      <c r="Q1118" t="s">
        <v>33</v>
      </c>
      <c r="R1118" t="s">
        <v>34</v>
      </c>
      <c r="S1118" t="s">
        <v>35</v>
      </c>
      <c r="T1118" t="s">
        <v>35</v>
      </c>
      <c r="U1118" t="s">
        <v>34</v>
      </c>
      <c r="V1118" t="str">
        <f>""</f>
        <v/>
      </c>
      <c r="W1118">
        <v>20150209</v>
      </c>
      <c r="X1118" t="s">
        <v>203</v>
      </c>
      <c r="Y1118" t="s">
        <v>253</v>
      </c>
      <c r="Z1118" t="s">
        <v>253</v>
      </c>
      <c r="AA1118">
        <v>0</v>
      </c>
      <c r="AB1118" t="s">
        <v>142</v>
      </c>
      <c r="AC1118" t="s">
        <v>143</v>
      </c>
      <c r="AD1118" t="s">
        <v>40</v>
      </c>
      <c r="AE1118" t="str">
        <f t="shared" si="317"/>
        <v>02</v>
      </c>
      <c r="AF1118" t="s">
        <v>40</v>
      </c>
    </row>
    <row r="1119" spans="1:32" x14ac:dyDescent="0.25">
      <c r="A1119">
        <v>5</v>
      </c>
      <c r="B1119">
        <v>420</v>
      </c>
      <c r="C1119" t="str">
        <f>"51"</f>
        <v>51</v>
      </c>
      <c r="D1119">
        <v>6299</v>
      </c>
      <c r="E1119" t="str">
        <f>"00"</f>
        <v>00</v>
      </c>
      <c r="F1119" t="str">
        <f t="shared" si="329"/>
        <v>999</v>
      </c>
      <c r="G1119">
        <v>5</v>
      </c>
      <c r="H1119" t="str">
        <f t="shared" si="330"/>
        <v>99</v>
      </c>
      <c r="I1119" t="str">
        <f t="shared" si="318"/>
        <v>0</v>
      </c>
      <c r="J1119" t="str">
        <f t="shared" si="316"/>
        <v>00</v>
      </c>
      <c r="K1119">
        <v>20150212</v>
      </c>
      <c r="L1119" t="str">
        <f>"014791"</f>
        <v>014791</v>
      </c>
      <c r="M1119" t="str">
        <f>"00577"</f>
        <v>00577</v>
      </c>
      <c r="N1119" t="s">
        <v>251</v>
      </c>
      <c r="O1119">
        <v>63.72</v>
      </c>
      <c r="Q1119" t="s">
        <v>33</v>
      </c>
      <c r="R1119" t="s">
        <v>34</v>
      </c>
      <c r="S1119" t="s">
        <v>35</v>
      </c>
      <c r="T1119" t="s">
        <v>35</v>
      </c>
      <c r="U1119" t="s">
        <v>34</v>
      </c>
      <c r="V1119" t="str">
        <f>""</f>
        <v/>
      </c>
      <c r="W1119">
        <v>20150210</v>
      </c>
      <c r="X1119" t="s">
        <v>203</v>
      </c>
      <c r="Y1119" t="s">
        <v>253</v>
      </c>
      <c r="Z1119" t="s">
        <v>253</v>
      </c>
      <c r="AA1119">
        <v>0</v>
      </c>
      <c r="AB1119" t="s">
        <v>142</v>
      </c>
      <c r="AC1119" t="s">
        <v>143</v>
      </c>
      <c r="AD1119" t="s">
        <v>40</v>
      </c>
      <c r="AE1119" t="str">
        <f t="shared" si="317"/>
        <v>02</v>
      </c>
      <c r="AF1119" t="s">
        <v>40</v>
      </c>
    </row>
    <row r="1120" spans="1:32" x14ac:dyDescent="0.25">
      <c r="A1120">
        <v>5</v>
      </c>
      <c r="B1120">
        <v>240</v>
      </c>
      <c r="C1120" t="str">
        <f>"35"</f>
        <v>35</v>
      </c>
      <c r="D1120">
        <v>6341</v>
      </c>
      <c r="E1120" t="str">
        <f>"00"</f>
        <v>00</v>
      </c>
      <c r="F1120" t="str">
        <f t="shared" si="329"/>
        <v>999</v>
      </c>
      <c r="G1120">
        <v>5</v>
      </c>
      <c r="H1120" t="str">
        <f t="shared" si="330"/>
        <v>99</v>
      </c>
      <c r="I1120" t="str">
        <f t="shared" si="318"/>
        <v>0</v>
      </c>
      <c r="J1120" t="str">
        <f t="shared" si="316"/>
        <v>00</v>
      </c>
      <c r="K1120">
        <v>20150219</v>
      </c>
      <c r="L1120" t="str">
        <f>"014792"</f>
        <v>014792</v>
      </c>
      <c r="M1120" t="str">
        <f>"00048"</f>
        <v>00048</v>
      </c>
      <c r="N1120" t="s">
        <v>647</v>
      </c>
      <c r="O1120">
        <v>170.58</v>
      </c>
      <c r="Q1120" t="s">
        <v>33</v>
      </c>
      <c r="R1120" t="s">
        <v>34</v>
      </c>
      <c r="S1120" t="s">
        <v>35</v>
      </c>
      <c r="T1120" t="s">
        <v>35</v>
      </c>
      <c r="U1120" t="s">
        <v>34</v>
      </c>
      <c r="V1120" t="str">
        <f>""</f>
        <v/>
      </c>
      <c r="W1120">
        <v>20150217</v>
      </c>
      <c r="X1120" t="s">
        <v>268</v>
      </c>
      <c r="Y1120" t="s">
        <v>573</v>
      </c>
      <c r="Z1120" t="s">
        <v>573</v>
      </c>
      <c r="AA1120">
        <v>0</v>
      </c>
      <c r="AB1120" t="s">
        <v>238</v>
      </c>
      <c r="AC1120" t="s">
        <v>143</v>
      </c>
      <c r="AD1120" t="s">
        <v>40</v>
      </c>
      <c r="AE1120" t="str">
        <f t="shared" ref="AE1120:AE1151" si="331">"02"</f>
        <v>02</v>
      </c>
      <c r="AF1120" t="s">
        <v>40</v>
      </c>
    </row>
    <row r="1121" spans="1:32" x14ac:dyDescent="0.25">
      <c r="A1121">
        <v>5</v>
      </c>
      <c r="B1121">
        <v>420</v>
      </c>
      <c r="C1121" t="str">
        <f>"51"</f>
        <v>51</v>
      </c>
      <c r="D1121">
        <v>6219</v>
      </c>
      <c r="E1121" t="str">
        <f>"00"</f>
        <v>00</v>
      </c>
      <c r="F1121" t="str">
        <f t="shared" si="329"/>
        <v>999</v>
      </c>
      <c r="G1121">
        <v>5</v>
      </c>
      <c r="H1121" t="str">
        <f t="shared" si="330"/>
        <v>99</v>
      </c>
      <c r="I1121" t="str">
        <f t="shared" si="318"/>
        <v>0</v>
      </c>
      <c r="J1121" t="str">
        <f t="shared" si="316"/>
        <v>00</v>
      </c>
      <c r="K1121">
        <v>20150219</v>
      </c>
      <c r="L1121" t="str">
        <f>"014793"</f>
        <v>014793</v>
      </c>
      <c r="M1121" t="str">
        <f>"00551"</f>
        <v>00551</v>
      </c>
      <c r="N1121" t="s">
        <v>715</v>
      </c>
      <c r="O1121">
        <v>350</v>
      </c>
      <c r="Q1121" t="s">
        <v>33</v>
      </c>
      <c r="R1121" t="s">
        <v>34</v>
      </c>
      <c r="S1121" t="s">
        <v>35</v>
      </c>
      <c r="T1121" t="s">
        <v>35</v>
      </c>
      <c r="U1121" t="s">
        <v>34</v>
      </c>
      <c r="V1121" t="str">
        <f>""</f>
        <v/>
      </c>
      <c r="W1121">
        <v>20150218</v>
      </c>
      <c r="X1121" t="s">
        <v>183</v>
      </c>
      <c r="Y1121" t="s">
        <v>716</v>
      </c>
      <c r="Z1121" t="s">
        <v>716</v>
      </c>
      <c r="AA1121">
        <v>0</v>
      </c>
      <c r="AB1121" t="s">
        <v>142</v>
      </c>
      <c r="AC1121" t="s">
        <v>143</v>
      </c>
      <c r="AD1121" t="s">
        <v>40</v>
      </c>
      <c r="AE1121" t="str">
        <f t="shared" si="331"/>
        <v>02</v>
      </c>
      <c r="AF1121" t="s">
        <v>40</v>
      </c>
    </row>
    <row r="1122" spans="1:32" x14ac:dyDescent="0.25">
      <c r="A1122">
        <v>5</v>
      </c>
      <c r="B1122">
        <v>420</v>
      </c>
      <c r="C1122" t="str">
        <f>"51"</f>
        <v>51</v>
      </c>
      <c r="D1122">
        <v>6259</v>
      </c>
      <c r="E1122" t="str">
        <f>"55"</f>
        <v>55</v>
      </c>
      <c r="F1122" t="str">
        <f t="shared" si="329"/>
        <v>999</v>
      </c>
      <c r="G1122">
        <v>5</v>
      </c>
      <c r="H1122" t="str">
        <f t="shared" si="330"/>
        <v>99</v>
      </c>
      <c r="I1122" t="str">
        <f t="shared" si="318"/>
        <v>0</v>
      </c>
      <c r="J1122" t="str">
        <f t="shared" si="316"/>
        <v>00</v>
      </c>
      <c r="K1122">
        <v>20150219</v>
      </c>
      <c r="L1122" t="str">
        <f>"014794"</f>
        <v>014794</v>
      </c>
      <c r="M1122" t="str">
        <f>"00075"</f>
        <v>00075</v>
      </c>
      <c r="N1122" t="s">
        <v>649</v>
      </c>
      <c r="O1122">
        <v>27.64</v>
      </c>
      <c r="Q1122" t="s">
        <v>33</v>
      </c>
      <c r="R1122" t="s">
        <v>34</v>
      </c>
      <c r="S1122" t="s">
        <v>35</v>
      </c>
      <c r="T1122" t="s">
        <v>35</v>
      </c>
      <c r="U1122" t="s">
        <v>34</v>
      </c>
      <c r="V1122" t="str">
        <f>""</f>
        <v/>
      </c>
      <c r="W1122">
        <v>20150217</v>
      </c>
      <c r="X1122" t="s">
        <v>243</v>
      </c>
      <c r="Y1122" t="s">
        <v>244</v>
      </c>
      <c r="Z1122" t="s">
        <v>244</v>
      </c>
      <c r="AA1122">
        <v>0</v>
      </c>
      <c r="AB1122" t="s">
        <v>142</v>
      </c>
      <c r="AC1122" t="s">
        <v>143</v>
      </c>
      <c r="AD1122" t="s">
        <v>40</v>
      </c>
      <c r="AE1122" t="str">
        <f t="shared" si="331"/>
        <v>02</v>
      </c>
      <c r="AF1122" t="s">
        <v>40</v>
      </c>
    </row>
    <row r="1123" spans="1:32" x14ac:dyDescent="0.25">
      <c r="A1123">
        <v>5</v>
      </c>
      <c r="B1123">
        <v>420</v>
      </c>
      <c r="C1123" t="str">
        <f>"51"</f>
        <v>51</v>
      </c>
      <c r="D1123">
        <v>6259</v>
      </c>
      <c r="E1123" t="str">
        <f>"55"</f>
        <v>55</v>
      </c>
      <c r="F1123" t="str">
        <f t="shared" si="329"/>
        <v>999</v>
      </c>
      <c r="G1123">
        <v>5</v>
      </c>
      <c r="H1123" t="str">
        <f t="shared" si="330"/>
        <v>99</v>
      </c>
      <c r="I1123" t="str">
        <f t="shared" si="318"/>
        <v>0</v>
      </c>
      <c r="J1123" t="str">
        <f t="shared" si="316"/>
        <v>00</v>
      </c>
      <c r="K1123">
        <v>20150219</v>
      </c>
      <c r="L1123" t="str">
        <f>"014794"</f>
        <v>014794</v>
      </c>
      <c r="M1123" t="str">
        <f>"00075"</f>
        <v>00075</v>
      </c>
      <c r="N1123" t="s">
        <v>649</v>
      </c>
      <c r="O1123">
        <v>111.84</v>
      </c>
      <c r="Q1123" t="s">
        <v>33</v>
      </c>
      <c r="R1123" t="s">
        <v>34</v>
      </c>
      <c r="S1123" t="s">
        <v>35</v>
      </c>
      <c r="T1123" t="s">
        <v>35</v>
      </c>
      <c r="U1123" t="s">
        <v>34</v>
      </c>
      <c r="V1123" t="str">
        <f>""</f>
        <v/>
      </c>
      <c r="W1123">
        <v>20150217</v>
      </c>
      <c r="X1123" t="s">
        <v>243</v>
      </c>
      <c r="Y1123" t="s">
        <v>244</v>
      </c>
      <c r="Z1123" t="s">
        <v>244</v>
      </c>
      <c r="AA1123">
        <v>0</v>
      </c>
      <c r="AB1123" t="s">
        <v>142</v>
      </c>
      <c r="AC1123" t="s">
        <v>143</v>
      </c>
      <c r="AD1123" t="s">
        <v>40</v>
      </c>
      <c r="AE1123" t="str">
        <f t="shared" si="331"/>
        <v>02</v>
      </c>
      <c r="AF1123" t="s">
        <v>40</v>
      </c>
    </row>
    <row r="1124" spans="1:32" x14ac:dyDescent="0.25">
      <c r="A1124">
        <v>5</v>
      </c>
      <c r="B1124">
        <v>420</v>
      </c>
      <c r="C1124" t="str">
        <f>"12"</f>
        <v>12</v>
      </c>
      <c r="D1124">
        <v>6399</v>
      </c>
      <c r="E1124" t="str">
        <f t="shared" ref="E1124:E1148" si="332">"00"</f>
        <v>00</v>
      </c>
      <c r="F1124" t="str">
        <f t="shared" si="329"/>
        <v>999</v>
      </c>
      <c r="G1124">
        <v>5</v>
      </c>
      <c r="H1124" t="str">
        <f t="shared" si="330"/>
        <v>99</v>
      </c>
      <c r="I1124" t="str">
        <f t="shared" si="318"/>
        <v>0</v>
      </c>
      <c r="J1124" t="str">
        <f t="shared" si="316"/>
        <v>00</v>
      </c>
      <c r="K1124">
        <v>20150219</v>
      </c>
      <c r="L1124" t="str">
        <f>"014795"</f>
        <v>014795</v>
      </c>
      <c r="M1124" t="str">
        <f>"00618"</f>
        <v>00618</v>
      </c>
      <c r="N1124" t="s">
        <v>717</v>
      </c>
      <c r="O1124" s="1">
        <v>1099</v>
      </c>
      <c r="Q1124" t="s">
        <v>33</v>
      </c>
      <c r="R1124" t="s">
        <v>34</v>
      </c>
      <c r="S1124" t="s">
        <v>35</v>
      </c>
      <c r="T1124" t="s">
        <v>35</v>
      </c>
      <c r="U1124" t="s">
        <v>34</v>
      </c>
      <c r="V1124" t="str">
        <f>""</f>
        <v/>
      </c>
      <c r="W1124">
        <v>20150217</v>
      </c>
      <c r="X1124" t="s">
        <v>523</v>
      </c>
      <c r="Y1124" t="s">
        <v>718</v>
      </c>
      <c r="Z1124" t="s">
        <v>718</v>
      </c>
      <c r="AA1124">
        <v>0</v>
      </c>
      <c r="AB1124" t="s">
        <v>142</v>
      </c>
      <c r="AC1124" t="s">
        <v>143</v>
      </c>
      <c r="AD1124" t="s">
        <v>40</v>
      </c>
      <c r="AE1124" t="str">
        <f t="shared" si="331"/>
        <v>02</v>
      </c>
      <c r="AF1124" t="s">
        <v>40</v>
      </c>
    </row>
    <row r="1125" spans="1:32" x14ac:dyDescent="0.25">
      <c r="A1125">
        <v>5</v>
      </c>
      <c r="B1125">
        <v>420</v>
      </c>
      <c r="C1125" t="str">
        <f>"51"</f>
        <v>51</v>
      </c>
      <c r="D1125">
        <v>6219</v>
      </c>
      <c r="E1125" t="str">
        <f t="shared" si="332"/>
        <v>00</v>
      </c>
      <c r="F1125" t="str">
        <f t="shared" si="329"/>
        <v>999</v>
      </c>
      <c r="G1125">
        <v>5</v>
      </c>
      <c r="H1125" t="str">
        <f t="shared" si="330"/>
        <v>99</v>
      </c>
      <c r="I1125" t="str">
        <f t="shared" si="318"/>
        <v>0</v>
      </c>
      <c r="J1125" t="str">
        <f t="shared" si="316"/>
        <v>00</v>
      </c>
      <c r="K1125">
        <v>20150219</v>
      </c>
      <c r="L1125" t="str">
        <f>"014796"</f>
        <v>014796</v>
      </c>
      <c r="M1125" t="str">
        <f>"00102"</f>
        <v>00102</v>
      </c>
      <c r="N1125" t="s">
        <v>367</v>
      </c>
      <c r="O1125">
        <v>145</v>
      </c>
      <c r="Q1125" t="s">
        <v>33</v>
      </c>
      <c r="R1125" t="s">
        <v>34</v>
      </c>
      <c r="S1125" t="s">
        <v>35</v>
      </c>
      <c r="T1125" t="s">
        <v>35</v>
      </c>
      <c r="U1125" t="s">
        <v>34</v>
      </c>
      <c r="V1125" t="str">
        <f>""</f>
        <v/>
      </c>
      <c r="W1125">
        <v>20150217</v>
      </c>
      <c r="X1125" t="s">
        <v>183</v>
      </c>
      <c r="Y1125" t="s">
        <v>368</v>
      </c>
      <c r="Z1125" t="s">
        <v>368</v>
      </c>
      <c r="AA1125">
        <v>0</v>
      </c>
      <c r="AB1125" t="s">
        <v>142</v>
      </c>
      <c r="AC1125" t="s">
        <v>143</v>
      </c>
      <c r="AD1125" t="s">
        <v>40</v>
      </c>
      <c r="AE1125" t="str">
        <f t="shared" si="331"/>
        <v>02</v>
      </c>
      <c r="AF1125" t="s">
        <v>40</v>
      </c>
    </row>
    <row r="1126" spans="1:32" x14ac:dyDescent="0.25">
      <c r="A1126">
        <v>5</v>
      </c>
      <c r="B1126">
        <v>420</v>
      </c>
      <c r="C1126" t="str">
        <f>"36"</f>
        <v>36</v>
      </c>
      <c r="D1126">
        <v>6399</v>
      </c>
      <c r="E1126" t="str">
        <f t="shared" si="332"/>
        <v>00</v>
      </c>
      <c r="F1126" t="str">
        <f>"041"</f>
        <v>041</v>
      </c>
      <c r="G1126">
        <v>5</v>
      </c>
      <c r="H1126" t="str">
        <f>"91"</f>
        <v>91</v>
      </c>
      <c r="I1126" t="str">
        <f t="shared" si="318"/>
        <v>0</v>
      </c>
      <c r="J1126" t="str">
        <f t="shared" si="316"/>
        <v>00</v>
      </c>
      <c r="K1126">
        <v>20150219</v>
      </c>
      <c r="L1126" t="str">
        <f>"014797"</f>
        <v>014797</v>
      </c>
      <c r="M1126" t="str">
        <f>"00833"</f>
        <v>00833</v>
      </c>
      <c r="N1126" t="s">
        <v>719</v>
      </c>
      <c r="O1126">
        <v>179.4</v>
      </c>
      <c r="Q1126" t="s">
        <v>33</v>
      </c>
      <c r="R1126" t="s">
        <v>34</v>
      </c>
      <c r="S1126" t="s">
        <v>35</v>
      </c>
      <c r="T1126" t="s">
        <v>35</v>
      </c>
      <c r="U1126" t="s">
        <v>34</v>
      </c>
      <c r="V1126" t="str">
        <f>""</f>
        <v/>
      </c>
      <c r="W1126">
        <v>20150218</v>
      </c>
      <c r="X1126" t="s">
        <v>680</v>
      </c>
      <c r="Y1126" t="s">
        <v>720</v>
      </c>
      <c r="Z1126" t="s">
        <v>720</v>
      </c>
      <c r="AA1126">
        <v>0</v>
      </c>
      <c r="AB1126" t="s">
        <v>142</v>
      </c>
      <c r="AC1126" t="s">
        <v>41</v>
      </c>
      <c r="AD1126" t="s">
        <v>40</v>
      </c>
      <c r="AE1126" t="str">
        <f t="shared" si="331"/>
        <v>02</v>
      </c>
      <c r="AF1126" t="s">
        <v>40</v>
      </c>
    </row>
    <row r="1127" spans="1:32" x14ac:dyDescent="0.25">
      <c r="A1127">
        <v>5</v>
      </c>
      <c r="B1127">
        <v>263</v>
      </c>
      <c r="C1127" t="str">
        <f>"11"</f>
        <v>11</v>
      </c>
      <c r="D1127">
        <v>6399</v>
      </c>
      <c r="E1127" t="str">
        <f t="shared" si="332"/>
        <v>00</v>
      </c>
      <c r="F1127" t="str">
        <f>"999"</f>
        <v>999</v>
      </c>
      <c r="G1127">
        <v>5</v>
      </c>
      <c r="H1127" t="str">
        <f>"25"</f>
        <v>25</v>
      </c>
      <c r="I1127" t="str">
        <f t="shared" si="318"/>
        <v>0</v>
      </c>
      <c r="J1127" t="str">
        <f t="shared" si="316"/>
        <v>00</v>
      </c>
      <c r="K1127">
        <v>20150219</v>
      </c>
      <c r="L1127" t="str">
        <f>"014798"</f>
        <v>014798</v>
      </c>
      <c r="M1127" t="str">
        <f>"00830"</f>
        <v>00830</v>
      </c>
      <c r="N1127" t="s">
        <v>721</v>
      </c>
      <c r="O1127">
        <v>638.02</v>
      </c>
      <c r="Q1127" t="s">
        <v>33</v>
      </c>
      <c r="R1127" t="s">
        <v>34</v>
      </c>
      <c r="S1127" t="s">
        <v>35</v>
      </c>
      <c r="T1127" t="s">
        <v>35</v>
      </c>
      <c r="U1127" t="s">
        <v>34</v>
      </c>
      <c r="V1127" t="str">
        <f>""</f>
        <v/>
      </c>
      <c r="W1127">
        <v>20150217</v>
      </c>
      <c r="X1127" t="s">
        <v>722</v>
      </c>
      <c r="Y1127" t="s">
        <v>723</v>
      </c>
      <c r="Z1127" t="s">
        <v>723</v>
      </c>
      <c r="AA1127">
        <v>0</v>
      </c>
      <c r="AB1127" t="s">
        <v>197</v>
      </c>
      <c r="AC1127" t="s">
        <v>143</v>
      </c>
      <c r="AD1127" t="s">
        <v>40</v>
      </c>
      <c r="AE1127" t="str">
        <f t="shared" si="331"/>
        <v>02</v>
      </c>
      <c r="AF1127" t="s">
        <v>40</v>
      </c>
    </row>
    <row r="1128" spans="1:32" x14ac:dyDescent="0.25">
      <c r="A1128">
        <v>5</v>
      </c>
      <c r="B1128">
        <v>420</v>
      </c>
      <c r="C1128" t="str">
        <f>"51"</f>
        <v>51</v>
      </c>
      <c r="D1128">
        <v>6219</v>
      </c>
      <c r="E1128" t="str">
        <f t="shared" si="332"/>
        <v>00</v>
      </c>
      <c r="F1128" t="str">
        <f>"999"</f>
        <v>999</v>
      </c>
      <c r="G1128">
        <v>5</v>
      </c>
      <c r="H1128" t="str">
        <f>"99"</f>
        <v>99</v>
      </c>
      <c r="I1128" t="str">
        <f t="shared" si="318"/>
        <v>0</v>
      </c>
      <c r="J1128" t="str">
        <f t="shared" si="316"/>
        <v>00</v>
      </c>
      <c r="K1128">
        <v>20150219</v>
      </c>
      <c r="L1128" t="str">
        <f>"014799"</f>
        <v>014799</v>
      </c>
      <c r="M1128" t="str">
        <f>"00718"</f>
        <v>00718</v>
      </c>
      <c r="N1128" t="s">
        <v>316</v>
      </c>
      <c r="O1128">
        <v>318.5</v>
      </c>
      <c r="Q1128" t="s">
        <v>33</v>
      </c>
      <c r="R1128" t="s">
        <v>34</v>
      </c>
      <c r="S1128" t="s">
        <v>35</v>
      </c>
      <c r="T1128" t="s">
        <v>35</v>
      </c>
      <c r="U1128" t="s">
        <v>34</v>
      </c>
      <c r="V1128" t="str">
        <f>""</f>
        <v/>
      </c>
      <c r="W1128">
        <v>20150217</v>
      </c>
      <c r="X1128" t="s">
        <v>183</v>
      </c>
      <c r="Y1128" t="s">
        <v>317</v>
      </c>
      <c r="Z1128" t="s">
        <v>317</v>
      </c>
      <c r="AA1128">
        <v>0</v>
      </c>
      <c r="AB1128" t="s">
        <v>142</v>
      </c>
      <c r="AC1128" t="s">
        <v>143</v>
      </c>
      <c r="AD1128" t="s">
        <v>40</v>
      </c>
      <c r="AE1128" t="str">
        <f t="shared" si="331"/>
        <v>02</v>
      </c>
      <c r="AF1128" t="s">
        <v>40</v>
      </c>
    </row>
    <row r="1129" spans="1:32" x14ac:dyDescent="0.25">
      <c r="A1129">
        <v>5</v>
      </c>
      <c r="B1129">
        <v>240</v>
      </c>
      <c r="C1129" t="str">
        <f>"35"</f>
        <v>35</v>
      </c>
      <c r="D1129">
        <v>6299</v>
      </c>
      <c r="E1129" t="str">
        <f t="shared" si="332"/>
        <v>00</v>
      </c>
      <c r="F1129" t="str">
        <f>"999"</f>
        <v>999</v>
      </c>
      <c r="G1129">
        <v>5</v>
      </c>
      <c r="H1129" t="str">
        <f>"99"</f>
        <v>99</v>
      </c>
      <c r="I1129" t="str">
        <f t="shared" si="318"/>
        <v>0</v>
      </c>
      <c r="J1129" t="str">
        <f t="shared" si="316"/>
        <v>00</v>
      </c>
      <c r="K1129">
        <v>20150219</v>
      </c>
      <c r="L1129" t="str">
        <f>"014800"</f>
        <v>014800</v>
      </c>
      <c r="M1129" t="str">
        <f>"00542"</f>
        <v>00542</v>
      </c>
      <c r="N1129" t="s">
        <v>724</v>
      </c>
      <c r="O1129">
        <v>135.15</v>
      </c>
      <c r="Q1129" t="s">
        <v>33</v>
      </c>
      <c r="R1129" t="s">
        <v>34</v>
      </c>
      <c r="S1129" t="s">
        <v>35</v>
      </c>
      <c r="T1129" t="s">
        <v>35</v>
      </c>
      <c r="U1129" t="s">
        <v>34</v>
      </c>
      <c r="V1129" t="str">
        <f>""</f>
        <v/>
      </c>
      <c r="W1129">
        <v>20150218</v>
      </c>
      <c r="X1129" t="s">
        <v>252</v>
      </c>
      <c r="Y1129" t="s">
        <v>725</v>
      </c>
      <c r="Z1129" t="s">
        <v>725</v>
      </c>
      <c r="AA1129">
        <v>0</v>
      </c>
      <c r="AB1129" t="s">
        <v>238</v>
      </c>
      <c r="AC1129" t="s">
        <v>143</v>
      </c>
      <c r="AD1129" t="s">
        <v>40</v>
      </c>
      <c r="AE1129" t="str">
        <f t="shared" si="331"/>
        <v>02</v>
      </c>
      <c r="AF1129" t="s">
        <v>40</v>
      </c>
    </row>
    <row r="1130" spans="1:32" x14ac:dyDescent="0.25">
      <c r="A1130">
        <v>5</v>
      </c>
      <c r="B1130">
        <v>224</v>
      </c>
      <c r="C1130" t="str">
        <f t="shared" ref="C1130:C1140" si="333">"11"</f>
        <v>11</v>
      </c>
      <c r="D1130">
        <v>6399</v>
      </c>
      <c r="E1130" t="str">
        <f t="shared" si="332"/>
        <v>00</v>
      </c>
      <c r="F1130" t="str">
        <f>"999"</f>
        <v>999</v>
      </c>
      <c r="G1130">
        <v>5</v>
      </c>
      <c r="H1130" t="str">
        <f>"23"</f>
        <v>23</v>
      </c>
      <c r="I1130" t="str">
        <f t="shared" si="318"/>
        <v>0</v>
      </c>
      <c r="J1130" t="str">
        <f t="shared" si="316"/>
        <v>00</v>
      </c>
      <c r="K1130">
        <v>20150219</v>
      </c>
      <c r="L1130" t="str">
        <f>"014801"</f>
        <v>014801</v>
      </c>
      <c r="M1130" t="str">
        <f>"00256"</f>
        <v>00256</v>
      </c>
      <c r="N1130" t="s">
        <v>726</v>
      </c>
      <c r="O1130">
        <v>198</v>
      </c>
      <c r="Q1130" t="s">
        <v>33</v>
      </c>
      <c r="R1130" t="s">
        <v>34</v>
      </c>
      <c r="S1130" t="s">
        <v>35</v>
      </c>
      <c r="T1130" t="s">
        <v>35</v>
      </c>
      <c r="U1130" t="s">
        <v>34</v>
      </c>
      <c r="V1130" t="str">
        <f>""</f>
        <v/>
      </c>
      <c r="W1130">
        <v>20150217</v>
      </c>
      <c r="X1130" t="s">
        <v>727</v>
      </c>
      <c r="Y1130" t="s">
        <v>512</v>
      </c>
      <c r="Z1130" t="s">
        <v>512</v>
      </c>
      <c r="AA1130">
        <v>0</v>
      </c>
      <c r="AB1130" t="s">
        <v>211</v>
      </c>
      <c r="AC1130" t="s">
        <v>143</v>
      </c>
      <c r="AD1130" t="s">
        <v>40</v>
      </c>
      <c r="AE1130" t="str">
        <f t="shared" si="331"/>
        <v>02</v>
      </c>
      <c r="AF1130" t="s">
        <v>40</v>
      </c>
    </row>
    <row r="1131" spans="1:32" x14ac:dyDescent="0.25">
      <c r="A1131">
        <v>5</v>
      </c>
      <c r="B1131">
        <v>224</v>
      </c>
      <c r="C1131" t="str">
        <f t="shared" si="333"/>
        <v>11</v>
      </c>
      <c r="D1131">
        <v>6399</v>
      </c>
      <c r="E1131" t="str">
        <f t="shared" si="332"/>
        <v>00</v>
      </c>
      <c r="F1131" t="str">
        <f>"999"</f>
        <v>999</v>
      </c>
      <c r="G1131">
        <v>5</v>
      </c>
      <c r="H1131" t="str">
        <f>"23"</f>
        <v>23</v>
      </c>
      <c r="I1131" t="str">
        <f t="shared" si="318"/>
        <v>0</v>
      </c>
      <c r="J1131" t="str">
        <f t="shared" si="316"/>
        <v>00</v>
      </c>
      <c r="K1131">
        <v>20150219</v>
      </c>
      <c r="L1131" t="str">
        <f>"014801"</f>
        <v>014801</v>
      </c>
      <c r="M1131" t="str">
        <f>"00256"</f>
        <v>00256</v>
      </c>
      <c r="N1131" t="s">
        <v>726</v>
      </c>
      <c r="O1131" s="1">
        <v>3318.64</v>
      </c>
      <c r="Q1131" t="s">
        <v>33</v>
      </c>
      <c r="R1131" t="s">
        <v>34</v>
      </c>
      <c r="S1131" t="s">
        <v>35</v>
      </c>
      <c r="T1131" t="s">
        <v>35</v>
      </c>
      <c r="U1131" t="s">
        <v>34</v>
      </c>
      <c r="V1131" t="str">
        <f>""</f>
        <v/>
      </c>
      <c r="W1131">
        <v>20150217</v>
      </c>
      <c r="X1131" t="s">
        <v>727</v>
      </c>
      <c r="Y1131" t="s">
        <v>512</v>
      </c>
      <c r="Z1131" t="s">
        <v>512</v>
      </c>
      <c r="AA1131">
        <v>0</v>
      </c>
      <c r="AB1131" t="s">
        <v>211</v>
      </c>
      <c r="AC1131" t="s">
        <v>143</v>
      </c>
      <c r="AD1131" t="s">
        <v>40</v>
      </c>
      <c r="AE1131" t="str">
        <f t="shared" si="331"/>
        <v>02</v>
      </c>
      <c r="AF1131" t="s">
        <v>40</v>
      </c>
    </row>
    <row r="1132" spans="1:32" x14ac:dyDescent="0.25">
      <c r="A1132">
        <v>5</v>
      </c>
      <c r="B1132">
        <v>420</v>
      </c>
      <c r="C1132" t="str">
        <f t="shared" si="333"/>
        <v>11</v>
      </c>
      <c r="D1132">
        <v>6399</v>
      </c>
      <c r="E1132" t="str">
        <f t="shared" si="332"/>
        <v>00</v>
      </c>
      <c r="F1132" t="str">
        <f>"001"</f>
        <v>001</v>
      </c>
      <c r="G1132">
        <v>5</v>
      </c>
      <c r="H1132" t="str">
        <f t="shared" ref="H1132:H1140" si="334">"11"</f>
        <v>11</v>
      </c>
      <c r="I1132" t="str">
        <f t="shared" si="318"/>
        <v>0</v>
      </c>
      <c r="J1132" t="str">
        <f t="shared" si="316"/>
        <v>00</v>
      </c>
      <c r="K1132">
        <v>20150219</v>
      </c>
      <c r="L1132" t="str">
        <f t="shared" ref="L1132:L1140" si="335">"014802"</f>
        <v>014802</v>
      </c>
      <c r="M1132" t="str">
        <f t="shared" ref="M1132:M1140" si="336">"00701"</f>
        <v>00701</v>
      </c>
      <c r="N1132" t="s">
        <v>120</v>
      </c>
      <c r="O1132">
        <v>17.75</v>
      </c>
      <c r="Q1132" t="s">
        <v>33</v>
      </c>
      <c r="R1132" t="s">
        <v>34</v>
      </c>
      <c r="S1132" t="s">
        <v>35</v>
      </c>
      <c r="T1132" t="s">
        <v>35</v>
      </c>
      <c r="U1132" t="s">
        <v>34</v>
      </c>
      <c r="V1132" t="str">
        <f>""</f>
        <v/>
      </c>
      <c r="W1132">
        <v>20150217</v>
      </c>
      <c r="X1132" t="s">
        <v>239</v>
      </c>
      <c r="Y1132" t="s">
        <v>444</v>
      </c>
      <c r="Z1132" t="s">
        <v>444</v>
      </c>
      <c r="AA1132">
        <v>0</v>
      </c>
      <c r="AB1132" t="s">
        <v>142</v>
      </c>
      <c r="AC1132" t="s">
        <v>41</v>
      </c>
      <c r="AD1132" t="s">
        <v>40</v>
      </c>
      <c r="AE1132" t="str">
        <f t="shared" si="331"/>
        <v>02</v>
      </c>
      <c r="AF1132" t="s">
        <v>40</v>
      </c>
    </row>
    <row r="1133" spans="1:32" x14ac:dyDescent="0.25">
      <c r="A1133">
        <v>5</v>
      </c>
      <c r="B1133">
        <v>420</v>
      </c>
      <c r="C1133" t="str">
        <f t="shared" si="333"/>
        <v>11</v>
      </c>
      <c r="D1133">
        <v>6399</v>
      </c>
      <c r="E1133" t="str">
        <f t="shared" si="332"/>
        <v>00</v>
      </c>
      <c r="F1133" t="str">
        <f>"001"</f>
        <v>001</v>
      </c>
      <c r="G1133">
        <v>5</v>
      </c>
      <c r="H1133" t="str">
        <f t="shared" si="334"/>
        <v>11</v>
      </c>
      <c r="I1133" t="str">
        <f t="shared" si="318"/>
        <v>0</v>
      </c>
      <c r="J1133" t="str">
        <f t="shared" si="316"/>
        <v>00</v>
      </c>
      <c r="K1133">
        <v>20150219</v>
      </c>
      <c r="L1133" t="str">
        <f t="shared" si="335"/>
        <v>014802</v>
      </c>
      <c r="M1133" t="str">
        <f t="shared" si="336"/>
        <v>00701</v>
      </c>
      <c r="N1133" t="s">
        <v>120</v>
      </c>
      <c r="O1133">
        <v>12.8</v>
      </c>
      <c r="Q1133" t="s">
        <v>33</v>
      </c>
      <c r="R1133" t="s">
        <v>34</v>
      </c>
      <c r="S1133" t="s">
        <v>35</v>
      </c>
      <c r="T1133" t="s">
        <v>35</v>
      </c>
      <c r="U1133" t="s">
        <v>34</v>
      </c>
      <c r="V1133" t="str">
        <f>""</f>
        <v/>
      </c>
      <c r="W1133">
        <v>20150217</v>
      </c>
      <c r="X1133" t="s">
        <v>239</v>
      </c>
      <c r="Y1133" t="s">
        <v>444</v>
      </c>
      <c r="Z1133" t="s">
        <v>444</v>
      </c>
      <c r="AA1133">
        <v>0</v>
      </c>
      <c r="AB1133" t="s">
        <v>142</v>
      </c>
      <c r="AC1133" t="s">
        <v>41</v>
      </c>
      <c r="AD1133" t="s">
        <v>40</v>
      </c>
      <c r="AE1133" t="str">
        <f t="shared" si="331"/>
        <v>02</v>
      </c>
      <c r="AF1133" t="s">
        <v>40</v>
      </c>
    </row>
    <row r="1134" spans="1:32" x14ac:dyDescent="0.25">
      <c r="A1134">
        <v>5</v>
      </c>
      <c r="B1134">
        <v>420</v>
      </c>
      <c r="C1134" t="str">
        <f t="shared" si="333"/>
        <v>11</v>
      </c>
      <c r="D1134">
        <v>6399</v>
      </c>
      <c r="E1134" t="str">
        <f t="shared" si="332"/>
        <v>00</v>
      </c>
      <c r="F1134" t="str">
        <f>"001"</f>
        <v>001</v>
      </c>
      <c r="G1134">
        <v>5</v>
      </c>
      <c r="H1134" t="str">
        <f t="shared" si="334"/>
        <v>11</v>
      </c>
      <c r="I1134" t="str">
        <f t="shared" si="318"/>
        <v>0</v>
      </c>
      <c r="J1134" t="str">
        <f t="shared" si="316"/>
        <v>00</v>
      </c>
      <c r="K1134">
        <v>20150219</v>
      </c>
      <c r="L1134" t="str">
        <f t="shared" si="335"/>
        <v>014802</v>
      </c>
      <c r="M1134" t="str">
        <f t="shared" si="336"/>
        <v>00701</v>
      </c>
      <c r="N1134" t="s">
        <v>120</v>
      </c>
      <c r="O1134">
        <v>20.78</v>
      </c>
      <c r="Q1134" t="s">
        <v>33</v>
      </c>
      <c r="R1134" t="s">
        <v>34</v>
      </c>
      <c r="S1134" t="s">
        <v>35</v>
      </c>
      <c r="T1134" t="s">
        <v>35</v>
      </c>
      <c r="U1134" t="s">
        <v>34</v>
      </c>
      <c r="V1134" t="str">
        <f>""</f>
        <v/>
      </c>
      <c r="W1134">
        <v>20150217</v>
      </c>
      <c r="X1134" t="s">
        <v>239</v>
      </c>
      <c r="Y1134" t="s">
        <v>728</v>
      </c>
      <c r="Z1134" t="s">
        <v>728</v>
      </c>
      <c r="AA1134">
        <v>0</v>
      </c>
      <c r="AB1134" t="s">
        <v>142</v>
      </c>
      <c r="AC1134" t="s">
        <v>41</v>
      </c>
      <c r="AD1134" t="s">
        <v>40</v>
      </c>
      <c r="AE1134" t="str">
        <f t="shared" si="331"/>
        <v>02</v>
      </c>
      <c r="AF1134" t="s">
        <v>40</v>
      </c>
    </row>
    <row r="1135" spans="1:32" x14ac:dyDescent="0.25">
      <c r="A1135">
        <v>5</v>
      </c>
      <c r="B1135">
        <v>420</v>
      </c>
      <c r="C1135" t="str">
        <f t="shared" si="333"/>
        <v>11</v>
      </c>
      <c r="D1135">
        <v>6399</v>
      </c>
      <c r="E1135" t="str">
        <f t="shared" si="332"/>
        <v>00</v>
      </c>
      <c r="F1135" t="str">
        <f>"041"</f>
        <v>041</v>
      </c>
      <c r="G1135">
        <v>5</v>
      </c>
      <c r="H1135" t="str">
        <f t="shared" si="334"/>
        <v>11</v>
      </c>
      <c r="I1135" t="str">
        <f t="shared" si="318"/>
        <v>0</v>
      </c>
      <c r="J1135" t="str">
        <f t="shared" si="316"/>
        <v>00</v>
      </c>
      <c r="K1135">
        <v>20150219</v>
      </c>
      <c r="L1135" t="str">
        <f t="shared" si="335"/>
        <v>014802</v>
      </c>
      <c r="M1135" t="str">
        <f t="shared" si="336"/>
        <v>00701</v>
      </c>
      <c r="N1135" t="s">
        <v>120</v>
      </c>
      <c r="O1135">
        <v>17.75</v>
      </c>
      <c r="Q1135" t="s">
        <v>33</v>
      </c>
      <c r="R1135" t="s">
        <v>34</v>
      </c>
      <c r="S1135" t="s">
        <v>35</v>
      </c>
      <c r="T1135" t="s">
        <v>35</v>
      </c>
      <c r="U1135" t="s">
        <v>34</v>
      </c>
      <c r="V1135" t="str">
        <f>""</f>
        <v/>
      </c>
      <c r="W1135">
        <v>20150217</v>
      </c>
      <c r="X1135" t="s">
        <v>241</v>
      </c>
      <c r="Y1135" t="s">
        <v>444</v>
      </c>
      <c r="Z1135" t="s">
        <v>444</v>
      </c>
      <c r="AA1135">
        <v>0</v>
      </c>
      <c r="AB1135" t="s">
        <v>142</v>
      </c>
      <c r="AC1135" t="s">
        <v>41</v>
      </c>
      <c r="AD1135" t="s">
        <v>40</v>
      </c>
      <c r="AE1135" t="str">
        <f t="shared" si="331"/>
        <v>02</v>
      </c>
      <c r="AF1135" t="s">
        <v>40</v>
      </c>
    </row>
    <row r="1136" spans="1:32" x14ac:dyDescent="0.25">
      <c r="A1136">
        <v>5</v>
      </c>
      <c r="B1136">
        <v>420</v>
      </c>
      <c r="C1136" t="str">
        <f t="shared" si="333"/>
        <v>11</v>
      </c>
      <c r="D1136">
        <v>6399</v>
      </c>
      <c r="E1136" t="str">
        <f t="shared" si="332"/>
        <v>00</v>
      </c>
      <c r="F1136" t="str">
        <f>"041"</f>
        <v>041</v>
      </c>
      <c r="G1136">
        <v>5</v>
      </c>
      <c r="H1136" t="str">
        <f t="shared" si="334"/>
        <v>11</v>
      </c>
      <c r="I1136" t="str">
        <f t="shared" si="318"/>
        <v>0</v>
      </c>
      <c r="J1136" t="str">
        <f t="shared" si="316"/>
        <v>00</v>
      </c>
      <c r="K1136">
        <v>20150219</v>
      </c>
      <c r="L1136" t="str">
        <f t="shared" si="335"/>
        <v>014802</v>
      </c>
      <c r="M1136" t="str">
        <f t="shared" si="336"/>
        <v>00701</v>
      </c>
      <c r="N1136" t="s">
        <v>120</v>
      </c>
      <c r="O1136">
        <v>12.79</v>
      </c>
      <c r="Q1136" t="s">
        <v>33</v>
      </c>
      <c r="R1136" t="s">
        <v>34</v>
      </c>
      <c r="S1136" t="s">
        <v>35</v>
      </c>
      <c r="T1136" t="s">
        <v>35</v>
      </c>
      <c r="U1136" t="s">
        <v>34</v>
      </c>
      <c r="V1136" t="str">
        <f>""</f>
        <v/>
      </c>
      <c r="W1136">
        <v>20150217</v>
      </c>
      <c r="X1136" t="s">
        <v>241</v>
      </c>
      <c r="Y1136" t="s">
        <v>444</v>
      </c>
      <c r="Z1136" t="s">
        <v>444</v>
      </c>
      <c r="AA1136">
        <v>0</v>
      </c>
      <c r="AB1136" t="s">
        <v>142</v>
      </c>
      <c r="AC1136" t="s">
        <v>41</v>
      </c>
      <c r="AD1136" t="s">
        <v>40</v>
      </c>
      <c r="AE1136" t="str">
        <f t="shared" si="331"/>
        <v>02</v>
      </c>
      <c r="AF1136" t="s">
        <v>40</v>
      </c>
    </row>
    <row r="1137" spans="1:32" x14ac:dyDescent="0.25">
      <c r="A1137">
        <v>5</v>
      </c>
      <c r="B1137">
        <v>420</v>
      </c>
      <c r="C1137" t="str">
        <f t="shared" si="333"/>
        <v>11</v>
      </c>
      <c r="D1137">
        <v>6399</v>
      </c>
      <c r="E1137" t="str">
        <f t="shared" si="332"/>
        <v>00</v>
      </c>
      <c r="F1137" t="str">
        <f>"041"</f>
        <v>041</v>
      </c>
      <c r="G1137">
        <v>5</v>
      </c>
      <c r="H1137" t="str">
        <f t="shared" si="334"/>
        <v>11</v>
      </c>
      <c r="I1137" t="str">
        <f t="shared" si="318"/>
        <v>0</v>
      </c>
      <c r="J1137" t="str">
        <f t="shared" si="316"/>
        <v>00</v>
      </c>
      <c r="K1137">
        <v>20150219</v>
      </c>
      <c r="L1137" t="str">
        <f t="shared" si="335"/>
        <v>014802</v>
      </c>
      <c r="M1137" t="str">
        <f t="shared" si="336"/>
        <v>00701</v>
      </c>
      <c r="N1137" t="s">
        <v>120</v>
      </c>
      <c r="O1137">
        <v>20.78</v>
      </c>
      <c r="Q1137" t="s">
        <v>33</v>
      </c>
      <c r="R1137" t="s">
        <v>34</v>
      </c>
      <c r="S1137" t="s">
        <v>35</v>
      </c>
      <c r="T1137" t="s">
        <v>35</v>
      </c>
      <c r="U1137" t="s">
        <v>34</v>
      </c>
      <c r="V1137" t="str">
        <f>""</f>
        <v/>
      </c>
      <c r="W1137">
        <v>20150217</v>
      </c>
      <c r="X1137" t="s">
        <v>241</v>
      </c>
      <c r="Y1137" t="s">
        <v>728</v>
      </c>
      <c r="Z1137" t="s">
        <v>728</v>
      </c>
      <c r="AA1137">
        <v>0</v>
      </c>
      <c r="AB1137" t="s">
        <v>142</v>
      </c>
      <c r="AC1137" t="s">
        <v>41</v>
      </c>
      <c r="AD1137" t="s">
        <v>40</v>
      </c>
      <c r="AE1137" t="str">
        <f t="shared" si="331"/>
        <v>02</v>
      </c>
      <c r="AF1137" t="s">
        <v>40</v>
      </c>
    </row>
    <row r="1138" spans="1:32" x14ac:dyDescent="0.25">
      <c r="A1138">
        <v>5</v>
      </c>
      <c r="B1138">
        <v>420</v>
      </c>
      <c r="C1138" t="str">
        <f t="shared" si="333"/>
        <v>11</v>
      </c>
      <c r="D1138">
        <v>6399</v>
      </c>
      <c r="E1138" t="str">
        <f t="shared" si="332"/>
        <v>00</v>
      </c>
      <c r="F1138" t="str">
        <f>"101"</f>
        <v>101</v>
      </c>
      <c r="G1138">
        <v>5</v>
      </c>
      <c r="H1138" t="str">
        <f t="shared" si="334"/>
        <v>11</v>
      </c>
      <c r="I1138" t="str">
        <f t="shared" si="318"/>
        <v>0</v>
      </c>
      <c r="J1138" t="str">
        <f t="shared" si="316"/>
        <v>00</v>
      </c>
      <c r="K1138">
        <v>20150219</v>
      </c>
      <c r="L1138" t="str">
        <f t="shared" si="335"/>
        <v>014802</v>
      </c>
      <c r="M1138" t="str">
        <f t="shared" si="336"/>
        <v>00701</v>
      </c>
      <c r="N1138" t="s">
        <v>120</v>
      </c>
      <c r="O1138">
        <v>75.430000000000007</v>
      </c>
      <c r="Q1138" t="s">
        <v>33</v>
      </c>
      <c r="R1138" t="s">
        <v>34</v>
      </c>
      <c r="S1138" t="s">
        <v>35</v>
      </c>
      <c r="T1138" t="s">
        <v>35</v>
      </c>
      <c r="U1138" t="s">
        <v>34</v>
      </c>
      <c r="V1138" t="str">
        <f>""</f>
        <v/>
      </c>
      <c r="W1138">
        <v>20150217</v>
      </c>
      <c r="X1138" t="s">
        <v>246</v>
      </c>
      <c r="Y1138" t="s">
        <v>444</v>
      </c>
      <c r="Z1138" t="s">
        <v>444</v>
      </c>
      <c r="AA1138">
        <v>0</v>
      </c>
      <c r="AB1138" t="s">
        <v>142</v>
      </c>
      <c r="AC1138" t="s">
        <v>41</v>
      </c>
      <c r="AD1138" t="s">
        <v>40</v>
      </c>
      <c r="AE1138" t="str">
        <f t="shared" si="331"/>
        <v>02</v>
      </c>
      <c r="AF1138" t="s">
        <v>40</v>
      </c>
    </row>
    <row r="1139" spans="1:32" x14ac:dyDescent="0.25">
      <c r="A1139">
        <v>5</v>
      </c>
      <c r="B1139">
        <v>420</v>
      </c>
      <c r="C1139" t="str">
        <f t="shared" si="333"/>
        <v>11</v>
      </c>
      <c r="D1139">
        <v>6399</v>
      </c>
      <c r="E1139" t="str">
        <f t="shared" si="332"/>
        <v>00</v>
      </c>
      <c r="F1139" t="str">
        <f>"101"</f>
        <v>101</v>
      </c>
      <c r="G1139">
        <v>5</v>
      </c>
      <c r="H1139" t="str">
        <f t="shared" si="334"/>
        <v>11</v>
      </c>
      <c r="I1139" t="str">
        <f t="shared" si="318"/>
        <v>0</v>
      </c>
      <c r="J1139" t="str">
        <f t="shared" si="316"/>
        <v>00</v>
      </c>
      <c r="K1139">
        <v>20150219</v>
      </c>
      <c r="L1139" t="str">
        <f t="shared" si="335"/>
        <v>014802</v>
      </c>
      <c r="M1139" t="str">
        <f t="shared" si="336"/>
        <v>00701</v>
      </c>
      <c r="N1139" t="s">
        <v>120</v>
      </c>
      <c r="O1139">
        <v>54.4</v>
      </c>
      <c r="Q1139" t="s">
        <v>33</v>
      </c>
      <c r="R1139" t="s">
        <v>34</v>
      </c>
      <c r="S1139" t="s">
        <v>35</v>
      </c>
      <c r="T1139" t="s">
        <v>35</v>
      </c>
      <c r="U1139" t="s">
        <v>34</v>
      </c>
      <c r="V1139" t="str">
        <f>""</f>
        <v/>
      </c>
      <c r="W1139">
        <v>20150217</v>
      </c>
      <c r="X1139" t="s">
        <v>246</v>
      </c>
      <c r="Y1139" t="s">
        <v>444</v>
      </c>
      <c r="Z1139" t="s">
        <v>444</v>
      </c>
      <c r="AA1139">
        <v>0</v>
      </c>
      <c r="AB1139" t="s">
        <v>142</v>
      </c>
      <c r="AC1139" t="s">
        <v>41</v>
      </c>
      <c r="AD1139" t="s">
        <v>40</v>
      </c>
      <c r="AE1139" t="str">
        <f t="shared" si="331"/>
        <v>02</v>
      </c>
      <c r="AF1139" t="s">
        <v>40</v>
      </c>
    </row>
    <row r="1140" spans="1:32" x14ac:dyDescent="0.25">
      <c r="A1140">
        <v>5</v>
      </c>
      <c r="B1140">
        <v>420</v>
      </c>
      <c r="C1140" t="str">
        <f t="shared" si="333"/>
        <v>11</v>
      </c>
      <c r="D1140">
        <v>6399</v>
      </c>
      <c r="E1140" t="str">
        <f t="shared" si="332"/>
        <v>00</v>
      </c>
      <c r="F1140" t="str">
        <f>"101"</f>
        <v>101</v>
      </c>
      <c r="G1140">
        <v>5</v>
      </c>
      <c r="H1140" t="str">
        <f t="shared" si="334"/>
        <v>11</v>
      </c>
      <c r="I1140" t="str">
        <f t="shared" si="318"/>
        <v>0</v>
      </c>
      <c r="J1140" t="str">
        <f t="shared" si="316"/>
        <v>00</v>
      </c>
      <c r="K1140">
        <v>20150219</v>
      </c>
      <c r="L1140" t="str">
        <f t="shared" si="335"/>
        <v>014802</v>
      </c>
      <c r="M1140" t="str">
        <f t="shared" si="336"/>
        <v>00701</v>
      </c>
      <c r="N1140" t="s">
        <v>120</v>
      </c>
      <c r="O1140">
        <v>88.31</v>
      </c>
      <c r="Q1140" t="s">
        <v>33</v>
      </c>
      <c r="R1140" t="s">
        <v>34</v>
      </c>
      <c r="S1140" t="s">
        <v>35</v>
      </c>
      <c r="T1140" t="s">
        <v>35</v>
      </c>
      <c r="U1140" t="s">
        <v>34</v>
      </c>
      <c r="V1140" t="str">
        <f>""</f>
        <v/>
      </c>
      <c r="W1140">
        <v>20150217</v>
      </c>
      <c r="X1140" t="s">
        <v>246</v>
      </c>
      <c r="Y1140" t="s">
        <v>728</v>
      </c>
      <c r="Z1140" t="s">
        <v>728</v>
      </c>
      <c r="AA1140">
        <v>0</v>
      </c>
      <c r="AB1140" t="s">
        <v>142</v>
      </c>
      <c r="AC1140" t="s">
        <v>41</v>
      </c>
      <c r="AD1140" t="s">
        <v>40</v>
      </c>
      <c r="AE1140" t="str">
        <f t="shared" si="331"/>
        <v>02</v>
      </c>
      <c r="AF1140" t="s">
        <v>40</v>
      </c>
    </row>
    <row r="1141" spans="1:32" x14ac:dyDescent="0.25">
      <c r="A1141">
        <v>5</v>
      </c>
      <c r="B1141">
        <v>240</v>
      </c>
      <c r="C1141" t="str">
        <f>"35"</f>
        <v>35</v>
      </c>
      <c r="D1141">
        <v>6341</v>
      </c>
      <c r="E1141" t="str">
        <f t="shared" si="332"/>
        <v>00</v>
      </c>
      <c r="F1141" t="str">
        <f t="shared" ref="F1141:F1147" si="337">"999"</f>
        <v>999</v>
      </c>
      <c r="G1141">
        <v>5</v>
      </c>
      <c r="H1141" t="str">
        <f t="shared" ref="H1141:H1158" si="338">"99"</f>
        <v>99</v>
      </c>
      <c r="I1141" t="str">
        <f t="shared" si="318"/>
        <v>0</v>
      </c>
      <c r="J1141" t="str">
        <f t="shared" si="316"/>
        <v>00</v>
      </c>
      <c r="K1141">
        <v>20150219</v>
      </c>
      <c r="L1141" t="str">
        <f t="shared" ref="L1141:L1147" si="339">"014803"</f>
        <v>014803</v>
      </c>
      <c r="M1141" t="str">
        <f t="shared" ref="M1141:M1147" si="340">"00391"</f>
        <v>00391</v>
      </c>
      <c r="N1141" t="s">
        <v>265</v>
      </c>
      <c r="O1141" s="1">
        <v>2514.0100000000002</v>
      </c>
      <c r="Q1141" t="s">
        <v>33</v>
      </c>
      <c r="R1141" t="s">
        <v>34</v>
      </c>
      <c r="S1141" t="s">
        <v>35</v>
      </c>
      <c r="T1141" t="s">
        <v>35</v>
      </c>
      <c r="U1141" t="s">
        <v>34</v>
      </c>
      <c r="V1141" t="str">
        <f>""</f>
        <v/>
      </c>
      <c r="W1141">
        <v>20150217</v>
      </c>
      <c r="X1141" t="s">
        <v>268</v>
      </c>
      <c r="Y1141" t="s">
        <v>557</v>
      </c>
      <c r="Z1141" t="s">
        <v>557</v>
      </c>
      <c r="AA1141">
        <v>0</v>
      </c>
      <c r="AB1141" t="s">
        <v>238</v>
      </c>
      <c r="AC1141" t="s">
        <v>143</v>
      </c>
      <c r="AD1141" t="s">
        <v>40</v>
      </c>
      <c r="AE1141" t="str">
        <f t="shared" si="331"/>
        <v>02</v>
      </c>
      <c r="AF1141" t="s">
        <v>40</v>
      </c>
    </row>
    <row r="1142" spans="1:32" x14ac:dyDescent="0.25">
      <c r="A1142">
        <v>5</v>
      </c>
      <c r="B1142">
        <v>240</v>
      </c>
      <c r="C1142" t="str">
        <f>"35"</f>
        <v>35</v>
      </c>
      <c r="D1142">
        <v>6341</v>
      </c>
      <c r="E1142" t="str">
        <f t="shared" si="332"/>
        <v>00</v>
      </c>
      <c r="F1142" t="str">
        <f t="shared" si="337"/>
        <v>999</v>
      </c>
      <c r="G1142">
        <v>5</v>
      </c>
      <c r="H1142" t="str">
        <f t="shared" si="338"/>
        <v>99</v>
      </c>
      <c r="I1142" t="str">
        <f t="shared" si="318"/>
        <v>0</v>
      </c>
      <c r="J1142" t="str">
        <f t="shared" si="316"/>
        <v>00</v>
      </c>
      <c r="K1142">
        <v>20150219</v>
      </c>
      <c r="L1142" t="str">
        <f t="shared" si="339"/>
        <v>014803</v>
      </c>
      <c r="M1142" t="str">
        <f t="shared" si="340"/>
        <v>00391</v>
      </c>
      <c r="N1142" t="s">
        <v>265</v>
      </c>
      <c r="O1142">
        <v>247.98</v>
      </c>
      <c r="Q1142" t="s">
        <v>33</v>
      </c>
      <c r="R1142" t="s">
        <v>34</v>
      </c>
      <c r="S1142" t="s">
        <v>35</v>
      </c>
      <c r="T1142" t="s">
        <v>35</v>
      </c>
      <c r="U1142" t="s">
        <v>34</v>
      </c>
      <c r="V1142" t="str">
        <f>""</f>
        <v/>
      </c>
      <c r="W1142">
        <v>20150217</v>
      </c>
      <c r="X1142" t="s">
        <v>268</v>
      </c>
      <c r="Y1142" t="s">
        <v>557</v>
      </c>
      <c r="Z1142" t="s">
        <v>557</v>
      </c>
      <c r="AA1142">
        <v>0</v>
      </c>
      <c r="AB1142" t="s">
        <v>238</v>
      </c>
      <c r="AC1142" t="s">
        <v>143</v>
      </c>
      <c r="AD1142" t="s">
        <v>40</v>
      </c>
      <c r="AE1142" t="str">
        <f t="shared" si="331"/>
        <v>02</v>
      </c>
      <c r="AF1142" t="s">
        <v>40</v>
      </c>
    </row>
    <row r="1143" spans="1:32" x14ac:dyDescent="0.25">
      <c r="A1143">
        <v>5</v>
      </c>
      <c r="B1143">
        <v>240</v>
      </c>
      <c r="C1143" t="str">
        <f>"35"</f>
        <v>35</v>
      </c>
      <c r="D1143">
        <v>6341</v>
      </c>
      <c r="E1143" t="str">
        <f t="shared" si="332"/>
        <v>00</v>
      </c>
      <c r="F1143" t="str">
        <f t="shared" si="337"/>
        <v>999</v>
      </c>
      <c r="G1143">
        <v>5</v>
      </c>
      <c r="H1143" t="str">
        <f t="shared" si="338"/>
        <v>99</v>
      </c>
      <c r="I1143" t="str">
        <f t="shared" si="318"/>
        <v>0</v>
      </c>
      <c r="J1143" t="str">
        <f t="shared" si="316"/>
        <v>00</v>
      </c>
      <c r="K1143">
        <v>20150219</v>
      </c>
      <c r="L1143" t="str">
        <f t="shared" si="339"/>
        <v>014803</v>
      </c>
      <c r="M1143" t="str">
        <f t="shared" si="340"/>
        <v>00391</v>
      </c>
      <c r="N1143" t="s">
        <v>265</v>
      </c>
      <c r="O1143" s="1">
        <v>2447.84</v>
      </c>
      <c r="Q1143" t="s">
        <v>33</v>
      </c>
      <c r="R1143" t="s">
        <v>34</v>
      </c>
      <c r="S1143" t="s">
        <v>35</v>
      </c>
      <c r="T1143" t="s">
        <v>35</v>
      </c>
      <c r="U1143" t="s">
        <v>34</v>
      </c>
      <c r="V1143" t="str">
        <f>""</f>
        <v/>
      </c>
      <c r="W1143">
        <v>20150217</v>
      </c>
      <c r="X1143" t="s">
        <v>268</v>
      </c>
      <c r="Y1143" t="s">
        <v>557</v>
      </c>
      <c r="Z1143" t="s">
        <v>557</v>
      </c>
      <c r="AA1143">
        <v>0</v>
      </c>
      <c r="AB1143" t="s">
        <v>238</v>
      </c>
      <c r="AC1143" t="s">
        <v>143</v>
      </c>
      <c r="AD1143" t="s">
        <v>40</v>
      </c>
      <c r="AE1143" t="str">
        <f t="shared" si="331"/>
        <v>02</v>
      </c>
      <c r="AF1143" t="s">
        <v>40</v>
      </c>
    </row>
    <row r="1144" spans="1:32" x14ac:dyDescent="0.25">
      <c r="A1144">
        <v>5</v>
      </c>
      <c r="B1144">
        <v>240</v>
      </c>
      <c r="C1144" t="str">
        <f>"35"</f>
        <v>35</v>
      </c>
      <c r="D1144">
        <v>6341</v>
      </c>
      <c r="E1144" t="str">
        <f t="shared" si="332"/>
        <v>00</v>
      </c>
      <c r="F1144" t="str">
        <f t="shared" si="337"/>
        <v>999</v>
      </c>
      <c r="G1144">
        <v>5</v>
      </c>
      <c r="H1144" t="str">
        <f t="shared" si="338"/>
        <v>99</v>
      </c>
      <c r="I1144" t="str">
        <f t="shared" si="318"/>
        <v>0</v>
      </c>
      <c r="J1144" t="str">
        <f t="shared" si="316"/>
        <v>00</v>
      </c>
      <c r="K1144">
        <v>20150219</v>
      </c>
      <c r="L1144" t="str">
        <f t="shared" si="339"/>
        <v>014803</v>
      </c>
      <c r="M1144" t="str">
        <f t="shared" si="340"/>
        <v>00391</v>
      </c>
      <c r="N1144" t="s">
        <v>265</v>
      </c>
      <c r="O1144">
        <v>445.83</v>
      </c>
      <c r="Q1144" t="s">
        <v>33</v>
      </c>
      <c r="R1144" t="s">
        <v>34</v>
      </c>
      <c r="S1144" t="s">
        <v>35</v>
      </c>
      <c r="T1144" t="s">
        <v>35</v>
      </c>
      <c r="U1144" t="s">
        <v>34</v>
      </c>
      <c r="V1144" t="str">
        <f>""</f>
        <v/>
      </c>
      <c r="W1144">
        <v>20150217</v>
      </c>
      <c r="X1144" t="s">
        <v>268</v>
      </c>
      <c r="Y1144" t="s">
        <v>557</v>
      </c>
      <c r="Z1144" t="s">
        <v>557</v>
      </c>
      <c r="AA1144">
        <v>0</v>
      </c>
      <c r="AB1144" t="s">
        <v>238</v>
      </c>
      <c r="AC1144" t="s">
        <v>143</v>
      </c>
      <c r="AD1144" t="s">
        <v>40</v>
      </c>
      <c r="AE1144" t="str">
        <f t="shared" si="331"/>
        <v>02</v>
      </c>
      <c r="AF1144" t="s">
        <v>40</v>
      </c>
    </row>
    <row r="1145" spans="1:32" x14ac:dyDescent="0.25">
      <c r="A1145">
        <v>5</v>
      </c>
      <c r="B1145">
        <v>240</v>
      </c>
      <c r="C1145" t="str">
        <f>"35"</f>
        <v>35</v>
      </c>
      <c r="D1145">
        <v>6342</v>
      </c>
      <c r="E1145" t="str">
        <f t="shared" si="332"/>
        <v>00</v>
      </c>
      <c r="F1145" t="str">
        <f t="shared" si="337"/>
        <v>999</v>
      </c>
      <c r="G1145">
        <v>5</v>
      </c>
      <c r="H1145" t="str">
        <f t="shared" si="338"/>
        <v>99</v>
      </c>
      <c r="I1145" t="str">
        <f t="shared" si="318"/>
        <v>0</v>
      </c>
      <c r="J1145" t="str">
        <f t="shared" si="316"/>
        <v>00</v>
      </c>
      <c r="K1145">
        <v>20150219</v>
      </c>
      <c r="L1145" t="str">
        <f t="shared" si="339"/>
        <v>014803</v>
      </c>
      <c r="M1145" t="str">
        <f t="shared" si="340"/>
        <v>00391</v>
      </c>
      <c r="N1145" t="s">
        <v>265</v>
      </c>
      <c r="O1145">
        <v>145.44</v>
      </c>
      <c r="Q1145" t="s">
        <v>33</v>
      </c>
      <c r="R1145" t="s">
        <v>34</v>
      </c>
      <c r="S1145" t="s">
        <v>35</v>
      </c>
      <c r="T1145" t="s">
        <v>35</v>
      </c>
      <c r="U1145" t="s">
        <v>34</v>
      </c>
      <c r="V1145" t="str">
        <f>""</f>
        <v/>
      </c>
      <c r="W1145">
        <v>20150217</v>
      </c>
      <c r="X1145" t="s">
        <v>269</v>
      </c>
      <c r="Y1145" t="s">
        <v>557</v>
      </c>
      <c r="Z1145" t="s">
        <v>557</v>
      </c>
      <c r="AA1145">
        <v>0</v>
      </c>
      <c r="AB1145" t="s">
        <v>238</v>
      </c>
      <c r="AC1145" t="s">
        <v>143</v>
      </c>
      <c r="AD1145" t="s">
        <v>40</v>
      </c>
      <c r="AE1145" t="str">
        <f t="shared" si="331"/>
        <v>02</v>
      </c>
      <c r="AF1145" t="s">
        <v>40</v>
      </c>
    </row>
    <row r="1146" spans="1:32" x14ac:dyDescent="0.25">
      <c r="A1146">
        <v>5</v>
      </c>
      <c r="B1146">
        <v>240</v>
      </c>
      <c r="C1146" t="str">
        <f>"51"</f>
        <v>51</v>
      </c>
      <c r="D1146">
        <v>6319</v>
      </c>
      <c r="E1146" t="str">
        <f t="shared" si="332"/>
        <v>00</v>
      </c>
      <c r="F1146" t="str">
        <f t="shared" si="337"/>
        <v>999</v>
      </c>
      <c r="G1146">
        <v>5</v>
      </c>
      <c r="H1146" t="str">
        <f t="shared" si="338"/>
        <v>99</v>
      </c>
      <c r="I1146" t="str">
        <f t="shared" si="318"/>
        <v>0</v>
      </c>
      <c r="J1146" t="str">
        <f t="shared" si="316"/>
        <v>00</v>
      </c>
      <c r="K1146">
        <v>20150219</v>
      </c>
      <c r="L1146" t="str">
        <f t="shared" si="339"/>
        <v>014803</v>
      </c>
      <c r="M1146" t="str">
        <f t="shared" si="340"/>
        <v>00391</v>
      </c>
      <c r="N1146" t="s">
        <v>265</v>
      </c>
      <c r="O1146">
        <v>75.900000000000006</v>
      </c>
      <c r="Q1146" t="s">
        <v>33</v>
      </c>
      <c r="R1146" t="s">
        <v>34</v>
      </c>
      <c r="S1146" t="s">
        <v>35</v>
      </c>
      <c r="T1146" t="s">
        <v>35</v>
      </c>
      <c r="U1146" t="s">
        <v>34</v>
      </c>
      <c r="V1146" t="str">
        <f>""</f>
        <v/>
      </c>
      <c r="W1146">
        <v>20150217</v>
      </c>
      <c r="X1146" t="s">
        <v>350</v>
      </c>
      <c r="Y1146" t="s">
        <v>557</v>
      </c>
      <c r="Z1146" t="s">
        <v>557</v>
      </c>
      <c r="AA1146">
        <v>0</v>
      </c>
      <c r="AB1146" t="s">
        <v>238</v>
      </c>
      <c r="AC1146" t="s">
        <v>143</v>
      </c>
      <c r="AD1146" t="s">
        <v>40</v>
      </c>
      <c r="AE1146" t="str">
        <f t="shared" si="331"/>
        <v>02</v>
      </c>
      <c r="AF1146" t="s">
        <v>40</v>
      </c>
    </row>
    <row r="1147" spans="1:32" x14ac:dyDescent="0.25">
      <c r="A1147">
        <v>5</v>
      </c>
      <c r="B1147">
        <v>240</v>
      </c>
      <c r="C1147" t="str">
        <f>"51"</f>
        <v>51</v>
      </c>
      <c r="D1147">
        <v>6319</v>
      </c>
      <c r="E1147" t="str">
        <f t="shared" si="332"/>
        <v>00</v>
      </c>
      <c r="F1147" t="str">
        <f t="shared" si="337"/>
        <v>999</v>
      </c>
      <c r="G1147">
        <v>5</v>
      </c>
      <c r="H1147" t="str">
        <f t="shared" si="338"/>
        <v>99</v>
      </c>
      <c r="I1147" t="str">
        <f t="shared" si="318"/>
        <v>0</v>
      </c>
      <c r="J1147" t="str">
        <f t="shared" ref="J1147:J1210" si="341">"00"</f>
        <v>00</v>
      </c>
      <c r="K1147">
        <v>20150219</v>
      </c>
      <c r="L1147" t="str">
        <f t="shared" si="339"/>
        <v>014803</v>
      </c>
      <c r="M1147" t="str">
        <f t="shared" si="340"/>
        <v>00391</v>
      </c>
      <c r="N1147" t="s">
        <v>265</v>
      </c>
      <c r="O1147">
        <v>45.15</v>
      </c>
      <c r="Q1147" t="s">
        <v>33</v>
      </c>
      <c r="R1147" t="s">
        <v>34</v>
      </c>
      <c r="S1147" t="s">
        <v>35</v>
      </c>
      <c r="T1147" t="s">
        <v>35</v>
      </c>
      <c r="U1147" t="s">
        <v>34</v>
      </c>
      <c r="V1147" t="str">
        <f>""</f>
        <v/>
      </c>
      <c r="W1147">
        <v>20150217</v>
      </c>
      <c r="X1147" t="s">
        <v>350</v>
      </c>
      <c r="Y1147" t="s">
        <v>557</v>
      </c>
      <c r="Z1147" t="s">
        <v>557</v>
      </c>
      <c r="AA1147">
        <v>0</v>
      </c>
      <c r="AB1147" t="s">
        <v>238</v>
      </c>
      <c r="AC1147" t="s">
        <v>143</v>
      </c>
      <c r="AD1147" t="s">
        <v>40</v>
      </c>
      <c r="AE1147" t="str">
        <f t="shared" si="331"/>
        <v>02</v>
      </c>
      <c r="AF1147" t="s">
        <v>40</v>
      </c>
    </row>
    <row r="1148" spans="1:32" x14ac:dyDescent="0.25">
      <c r="A1148">
        <v>5</v>
      </c>
      <c r="B1148">
        <v>420</v>
      </c>
      <c r="C1148" t="str">
        <f>"41"</f>
        <v>41</v>
      </c>
      <c r="D1148">
        <v>6219</v>
      </c>
      <c r="E1148" t="str">
        <f t="shared" si="332"/>
        <v>00</v>
      </c>
      <c r="F1148" t="str">
        <f>"750"</f>
        <v>750</v>
      </c>
      <c r="G1148">
        <v>5</v>
      </c>
      <c r="H1148" t="str">
        <f t="shared" si="338"/>
        <v>99</v>
      </c>
      <c r="I1148" t="str">
        <f t="shared" si="318"/>
        <v>0</v>
      </c>
      <c r="J1148" t="str">
        <f t="shared" si="341"/>
        <v>00</v>
      </c>
      <c r="K1148">
        <v>20150219</v>
      </c>
      <c r="L1148" t="str">
        <f>"014804"</f>
        <v>014804</v>
      </c>
      <c r="M1148" t="str">
        <f>"00678"</f>
        <v>00678</v>
      </c>
      <c r="N1148" t="s">
        <v>270</v>
      </c>
      <c r="O1148" s="1">
        <v>1422.42</v>
      </c>
      <c r="Q1148" t="s">
        <v>33</v>
      </c>
      <c r="R1148" t="s">
        <v>34</v>
      </c>
      <c r="S1148" t="s">
        <v>35</v>
      </c>
      <c r="T1148" t="s">
        <v>35</v>
      </c>
      <c r="U1148" t="s">
        <v>34</v>
      </c>
      <c r="V1148" t="str">
        <f>""</f>
        <v/>
      </c>
      <c r="W1148">
        <v>20150217</v>
      </c>
      <c r="X1148" t="s">
        <v>255</v>
      </c>
      <c r="Y1148" t="s">
        <v>519</v>
      </c>
      <c r="Z1148" t="s">
        <v>519</v>
      </c>
      <c r="AA1148">
        <v>0</v>
      </c>
      <c r="AB1148" t="s">
        <v>142</v>
      </c>
      <c r="AC1148" t="s">
        <v>170</v>
      </c>
      <c r="AD1148" t="s">
        <v>40</v>
      </c>
      <c r="AE1148" t="str">
        <f t="shared" si="331"/>
        <v>02</v>
      </c>
      <c r="AF1148" t="s">
        <v>40</v>
      </c>
    </row>
    <row r="1149" spans="1:32" x14ac:dyDescent="0.25">
      <c r="A1149">
        <v>5</v>
      </c>
      <c r="B1149">
        <v>420</v>
      </c>
      <c r="C1149" t="str">
        <f>"51"</f>
        <v>51</v>
      </c>
      <c r="D1149">
        <v>6259</v>
      </c>
      <c r="E1149" t="str">
        <f>"54"</f>
        <v>54</v>
      </c>
      <c r="F1149" t="str">
        <f t="shared" ref="F1149:F1155" si="342">"999"</f>
        <v>999</v>
      </c>
      <c r="G1149">
        <v>5</v>
      </c>
      <c r="H1149" t="str">
        <f t="shared" si="338"/>
        <v>99</v>
      </c>
      <c r="I1149" t="str">
        <f t="shared" si="318"/>
        <v>0</v>
      </c>
      <c r="J1149" t="str">
        <f t="shared" si="341"/>
        <v>00</v>
      </c>
      <c r="K1149">
        <v>20150219</v>
      </c>
      <c r="L1149" t="str">
        <f>"014805"</f>
        <v>014805</v>
      </c>
      <c r="M1149" t="str">
        <f>"00591"</f>
        <v>00591</v>
      </c>
      <c r="N1149" t="s">
        <v>272</v>
      </c>
      <c r="O1149" s="1">
        <v>2172.16</v>
      </c>
      <c r="Q1149" t="s">
        <v>33</v>
      </c>
      <c r="R1149" t="s">
        <v>34</v>
      </c>
      <c r="S1149" t="s">
        <v>35</v>
      </c>
      <c r="T1149" t="s">
        <v>35</v>
      </c>
      <c r="U1149" t="s">
        <v>34</v>
      </c>
      <c r="V1149" t="str">
        <f>""</f>
        <v/>
      </c>
      <c r="W1149">
        <v>20150217</v>
      </c>
      <c r="X1149" t="s">
        <v>216</v>
      </c>
      <c r="Y1149" t="s">
        <v>542</v>
      </c>
      <c r="Z1149" t="s">
        <v>542</v>
      </c>
      <c r="AA1149">
        <v>0</v>
      </c>
      <c r="AB1149" t="s">
        <v>142</v>
      </c>
      <c r="AC1149" t="s">
        <v>143</v>
      </c>
      <c r="AD1149" t="s">
        <v>40</v>
      </c>
      <c r="AE1149" t="str">
        <f t="shared" si="331"/>
        <v>02</v>
      </c>
      <c r="AF1149" t="s">
        <v>40</v>
      </c>
    </row>
    <row r="1150" spans="1:32" x14ac:dyDescent="0.25">
      <c r="A1150">
        <v>5</v>
      </c>
      <c r="B1150">
        <v>240</v>
      </c>
      <c r="C1150" t="str">
        <f>"35"</f>
        <v>35</v>
      </c>
      <c r="D1150">
        <v>6299</v>
      </c>
      <c r="E1150" t="str">
        <f t="shared" ref="E1150:E1195" si="343">"00"</f>
        <v>00</v>
      </c>
      <c r="F1150" t="str">
        <f t="shared" si="342"/>
        <v>999</v>
      </c>
      <c r="G1150">
        <v>5</v>
      </c>
      <c r="H1150" t="str">
        <f t="shared" si="338"/>
        <v>99</v>
      </c>
      <c r="I1150" t="str">
        <f t="shared" si="318"/>
        <v>0</v>
      </c>
      <c r="J1150" t="str">
        <f t="shared" si="341"/>
        <v>00</v>
      </c>
      <c r="K1150">
        <v>20150219</v>
      </c>
      <c r="L1150" t="str">
        <f t="shared" ref="L1150:L1155" si="344">"014806"</f>
        <v>014806</v>
      </c>
      <c r="M1150" t="str">
        <f t="shared" ref="M1150:M1155" si="345">"00577"</f>
        <v>00577</v>
      </c>
      <c r="N1150" t="s">
        <v>251</v>
      </c>
      <c r="O1150">
        <v>39.04</v>
      </c>
      <c r="Q1150" t="s">
        <v>33</v>
      </c>
      <c r="R1150" t="s">
        <v>34</v>
      </c>
      <c r="S1150" t="s">
        <v>35</v>
      </c>
      <c r="T1150" t="s">
        <v>35</v>
      </c>
      <c r="U1150" t="s">
        <v>34</v>
      </c>
      <c r="V1150" t="str">
        <f>""</f>
        <v/>
      </c>
      <c r="W1150">
        <v>20150217</v>
      </c>
      <c r="X1150" t="s">
        <v>252</v>
      </c>
      <c r="Y1150" t="s">
        <v>253</v>
      </c>
      <c r="Z1150" t="s">
        <v>253</v>
      </c>
      <c r="AA1150">
        <v>0</v>
      </c>
      <c r="AB1150" t="s">
        <v>238</v>
      </c>
      <c r="AC1150" t="s">
        <v>143</v>
      </c>
      <c r="AD1150" t="s">
        <v>40</v>
      </c>
      <c r="AE1150" t="str">
        <f t="shared" si="331"/>
        <v>02</v>
      </c>
      <c r="AF1150" t="s">
        <v>40</v>
      </c>
    </row>
    <row r="1151" spans="1:32" x14ac:dyDescent="0.25">
      <c r="A1151">
        <v>5</v>
      </c>
      <c r="B1151">
        <v>420</v>
      </c>
      <c r="C1151" t="str">
        <f>"51"</f>
        <v>51</v>
      </c>
      <c r="D1151">
        <v>6299</v>
      </c>
      <c r="E1151" t="str">
        <f t="shared" si="343"/>
        <v>00</v>
      </c>
      <c r="F1151" t="str">
        <f t="shared" si="342"/>
        <v>999</v>
      </c>
      <c r="G1151">
        <v>5</v>
      </c>
      <c r="H1151" t="str">
        <f t="shared" si="338"/>
        <v>99</v>
      </c>
      <c r="I1151" t="str">
        <f t="shared" si="318"/>
        <v>0</v>
      </c>
      <c r="J1151" t="str">
        <f t="shared" si="341"/>
        <v>00</v>
      </c>
      <c r="K1151">
        <v>20150219</v>
      </c>
      <c r="L1151" t="str">
        <f t="shared" si="344"/>
        <v>014806</v>
      </c>
      <c r="M1151" t="str">
        <f t="shared" si="345"/>
        <v>00577</v>
      </c>
      <c r="N1151" t="s">
        <v>251</v>
      </c>
      <c r="O1151">
        <v>63.72</v>
      </c>
      <c r="Q1151" t="s">
        <v>33</v>
      </c>
      <c r="R1151" t="s">
        <v>34</v>
      </c>
      <c r="S1151" t="s">
        <v>35</v>
      </c>
      <c r="T1151" t="s">
        <v>35</v>
      </c>
      <c r="U1151" t="s">
        <v>34</v>
      </c>
      <c r="V1151" t="str">
        <f>""</f>
        <v/>
      </c>
      <c r="W1151">
        <v>20150217</v>
      </c>
      <c r="X1151" t="s">
        <v>203</v>
      </c>
      <c r="Y1151" t="s">
        <v>253</v>
      </c>
      <c r="Z1151" t="s">
        <v>253</v>
      </c>
      <c r="AA1151">
        <v>0</v>
      </c>
      <c r="AB1151" t="s">
        <v>142</v>
      </c>
      <c r="AC1151" t="s">
        <v>143</v>
      </c>
      <c r="AD1151" t="s">
        <v>40</v>
      </c>
      <c r="AE1151" t="str">
        <f t="shared" si="331"/>
        <v>02</v>
      </c>
      <c r="AF1151" t="s">
        <v>40</v>
      </c>
    </row>
    <row r="1152" spans="1:32" x14ac:dyDescent="0.25">
      <c r="A1152">
        <v>5</v>
      </c>
      <c r="B1152">
        <v>420</v>
      </c>
      <c r="C1152" t="str">
        <f>"51"</f>
        <v>51</v>
      </c>
      <c r="D1152">
        <v>6299</v>
      </c>
      <c r="E1152" t="str">
        <f t="shared" si="343"/>
        <v>00</v>
      </c>
      <c r="F1152" t="str">
        <f t="shared" si="342"/>
        <v>999</v>
      </c>
      <c r="G1152">
        <v>5</v>
      </c>
      <c r="H1152" t="str">
        <f t="shared" si="338"/>
        <v>99</v>
      </c>
      <c r="I1152" t="str">
        <f t="shared" si="318"/>
        <v>0</v>
      </c>
      <c r="J1152" t="str">
        <f t="shared" si="341"/>
        <v>00</v>
      </c>
      <c r="K1152">
        <v>20150219</v>
      </c>
      <c r="L1152" t="str">
        <f t="shared" si="344"/>
        <v>014806</v>
      </c>
      <c r="M1152" t="str">
        <f t="shared" si="345"/>
        <v>00577</v>
      </c>
      <c r="N1152" t="s">
        <v>251</v>
      </c>
      <c r="O1152">
        <v>63.72</v>
      </c>
      <c r="Q1152" t="s">
        <v>33</v>
      </c>
      <c r="R1152" t="s">
        <v>34</v>
      </c>
      <c r="S1152" t="s">
        <v>35</v>
      </c>
      <c r="T1152" t="s">
        <v>35</v>
      </c>
      <c r="U1152" t="s">
        <v>34</v>
      </c>
      <c r="V1152" t="str">
        <f>""</f>
        <v/>
      </c>
      <c r="W1152">
        <v>20150217</v>
      </c>
      <c r="X1152" t="s">
        <v>203</v>
      </c>
      <c r="Y1152" t="s">
        <v>253</v>
      </c>
      <c r="Z1152" t="s">
        <v>253</v>
      </c>
      <c r="AA1152">
        <v>0</v>
      </c>
      <c r="AB1152" t="s">
        <v>142</v>
      </c>
      <c r="AC1152" t="s">
        <v>143</v>
      </c>
      <c r="AD1152" t="s">
        <v>40</v>
      </c>
      <c r="AE1152" t="str">
        <f t="shared" ref="AE1152:AE1183" si="346">"02"</f>
        <v>02</v>
      </c>
      <c r="AF1152" t="s">
        <v>40</v>
      </c>
    </row>
    <row r="1153" spans="1:32" x14ac:dyDescent="0.25">
      <c r="A1153">
        <v>5</v>
      </c>
      <c r="B1153">
        <v>420</v>
      </c>
      <c r="C1153" t="str">
        <f>"51"</f>
        <v>51</v>
      </c>
      <c r="D1153">
        <v>6299</v>
      </c>
      <c r="E1153" t="str">
        <f t="shared" si="343"/>
        <v>00</v>
      </c>
      <c r="F1153" t="str">
        <f t="shared" si="342"/>
        <v>999</v>
      </c>
      <c r="G1153">
        <v>5</v>
      </c>
      <c r="H1153" t="str">
        <f t="shared" si="338"/>
        <v>99</v>
      </c>
      <c r="I1153" t="str">
        <f t="shared" si="318"/>
        <v>0</v>
      </c>
      <c r="J1153" t="str">
        <f t="shared" si="341"/>
        <v>00</v>
      </c>
      <c r="K1153">
        <v>20150219</v>
      </c>
      <c r="L1153" t="str">
        <f t="shared" si="344"/>
        <v>014806</v>
      </c>
      <c r="M1153" t="str">
        <f t="shared" si="345"/>
        <v>00577</v>
      </c>
      <c r="N1153" t="s">
        <v>251</v>
      </c>
      <c r="O1153">
        <v>63.72</v>
      </c>
      <c r="Q1153" t="s">
        <v>33</v>
      </c>
      <c r="R1153" t="s">
        <v>34</v>
      </c>
      <c r="S1153" t="s">
        <v>35</v>
      </c>
      <c r="T1153" t="s">
        <v>35</v>
      </c>
      <c r="U1153" t="s">
        <v>34</v>
      </c>
      <c r="V1153" t="str">
        <f>""</f>
        <v/>
      </c>
      <c r="W1153">
        <v>20150217</v>
      </c>
      <c r="X1153" t="s">
        <v>203</v>
      </c>
      <c r="Y1153" t="s">
        <v>253</v>
      </c>
      <c r="Z1153" t="s">
        <v>253</v>
      </c>
      <c r="AA1153">
        <v>0</v>
      </c>
      <c r="AB1153" t="s">
        <v>142</v>
      </c>
      <c r="AC1153" t="s">
        <v>143</v>
      </c>
      <c r="AD1153" t="s">
        <v>40</v>
      </c>
      <c r="AE1153" t="str">
        <f t="shared" si="346"/>
        <v>02</v>
      </c>
      <c r="AF1153" t="s">
        <v>40</v>
      </c>
    </row>
    <row r="1154" spans="1:32" x14ac:dyDescent="0.25">
      <c r="A1154">
        <v>5</v>
      </c>
      <c r="B1154">
        <v>420</v>
      </c>
      <c r="C1154" t="str">
        <f>"51"</f>
        <v>51</v>
      </c>
      <c r="D1154">
        <v>6299</v>
      </c>
      <c r="E1154" t="str">
        <f t="shared" si="343"/>
        <v>00</v>
      </c>
      <c r="F1154" t="str">
        <f t="shared" si="342"/>
        <v>999</v>
      </c>
      <c r="G1154">
        <v>5</v>
      </c>
      <c r="H1154" t="str">
        <f t="shared" si="338"/>
        <v>99</v>
      </c>
      <c r="I1154" t="str">
        <f t="shared" ref="I1154:I1217" si="347">"0"</f>
        <v>0</v>
      </c>
      <c r="J1154" t="str">
        <f t="shared" si="341"/>
        <v>00</v>
      </c>
      <c r="K1154">
        <v>20150219</v>
      </c>
      <c r="L1154" t="str">
        <f t="shared" si="344"/>
        <v>014806</v>
      </c>
      <c r="M1154" t="str">
        <f t="shared" si="345"/>
        <v>00577</v>
      </c>
      <c r="N1154" t="s">
        <v>251</v>
      </c>
      <c r="O1154">
        <v>39.04</v>
      </c>
      <c r="Q1154" t="s">
        <v>33</v>
      </c>
      <c r="R1154" t="s">
        <v>34</v>
      </c>
      <c r="S1154" t="s">
        <v>35</v>
      </c>
      <c r="T1154" t="s">
        <v>35</v>
      </c>
      <c r="U1154" t="s">
        <v>34</v>
      </c>
      <c r="V1154" t="str">
        <f>""</f>
        <v/>
      </c>
      <c r="W1154">
        <v>20150217</v>
      </c>
      <c r="X1154" t="s">
        <v>203</v>
      </c>
      <c r="Y1154" t="s">
        <v>253</v>
      </c>
      <c r="Z1154" t="s">
        <v>253</v>
      </c>
      <c r="AA1154">
        <v>0</v>
      </c>
      <c r="AB1154" t="s">
        <v>142</v>
      </c>
      <c r="AC1154" t="s">
        <v>143</v>
      </c>
      <c r="AD1154" t="s">
        <v>40</v>
      </c>
      <c r="AE1154" t="str">
        <f t="shared" si="346"/>
        <v>02</v>
      </c>
      <c r="AF1154" t="s">
        <v>40</v>
      </c>
    </row>
    <row r="1155" spans="1:32" x14ac:dyDescent="0.25">
      <c r="A1155">
        <v>5</v>
      </c>
      <c r="B1155">
        <v>420</v>
      </c>
      <c r="C1155" t="str">
        <f>"51"</f>
        <v>51</v>
      </c>
      <c r="D1155">
        <v>6299</v>
      </c>
      <c r="E1155" t="str">
        <f t="shared" si="343"/>
        <v>00</v>
      </c>
      <c r="F1155" t="str">
        <f t="shared" si="342"/>
        <v>999</v>
      </c>
      <c r="G1155">
        <v>5</v>
      </c>
      <c r="H1155" t="str">
        <f t="shared" si="338"/>
        <v>99</v>
      </c>
      <c r="I1155" t="str">
        <f t="shared" si="347"/>
        <v>0</v>
      </c>
      <c r="J1155" t="str">
        <f t="shared" si="341"/>
        <v>00</v>
      </c>
      <c r="K1155">
        <v>20150219</v>
      </c>
      <c r="L1155" t="str">
        <f t="shared" si="344"/>
        <v>014806</v>
      </c>
      <c r="M1155" t="str">
        <f t="shared" si="345"/>
        <v>00577</v>
      </c>
      <c r="N1155" t="s">
        <v>251</v>
      </c>
      <c r="O1155">
        <v>39.04</v>
      </c>
      <c r="Q1155" t="s">
        <v>33</v>
      </c>
      <c r="R1155" t="s">
        <v>34</v>
      </c>
      <c r="S1155" t="s">
        <v>35</v>
      </c>
      <c r="T1155" t="s">
        <v>35</v>
      </c>
      <c r="U1155" t="s">
        <v>34</v>
      </c>
      <c r="V1155" t="str">
        <f>""</f>
        <v/>
      </c>
      <c r="W1155">
        <v>20150217</v>
      </c>
      <c r="X1155" t="s">
        <v>203</v>
      </c>
      <c r="Y1155" t="s">
        <v>253</v>
      </c>
      <c r="Z1155" t="s">
        <v>253</v>
      </c>
      <c r="AA1155">
        <v>0</v>
      </c>
      <c r="AB1155" t="s">
        <v>142</v>
      </c>
      <c r="AC1155" t="s">
        <v>143</v>
      </c>
      <c r="AD1155" t="s">
        <v>40</v>
      </c>
      <c r="AE1155" t="str">
        <f t="shared" si="346"/>
        <v>02</v>
      </c>
      <c r="AF1155" t="s">
        <v>40</v>
      </c>
    </row>
    <row r="1156" spans="1:32" x14ac:dyDescent="0.25">
      <c r="A1156">
        <v>5</v>
      </c>
      <c r="B1156">
        <v>420</v>
      </c>
      <c r="C1156" t="str">
        <f>"41"</f>
        <v>41</v>
      </c>
      <c r="D1156">
        <v>6499</v>
      </c>
      <c r="E1156" t="str">
        <f t="shared" si="343"/>
        <v>00</v>
      </c>
      <c r="F1156" t="str">
        <f>"750"</f>
        <v>750</v>
      </c>
      <c r="G1156">
        <v>5</v>
      </c>
      <c r="H1156" t="str">
        <f t="shared" si="338"/>
        <v>99</v>
      </c>
      <c r="I1156" t="str">
        <f t="shared" si="347"/>
        <v>0</v>
      </c>
      <c r="J1156" t="str">
        <f t="shared" si="341"/>
        <v>00</v>
      </c>
      <c r="K1156">
        <v>20150219</v>
      </c>
      <c r="L1156" t="str">
        <f>"014807"</f>
        <v>014807</v>
      </c>
      <c r="M1156" t="str">
        <f>"00444"</f>
        <v>00444</v>
      </c>
      <c r="N1156" t="s">
        <v>41</v>
      </c>
      <c r="O1156">
        <v>621.02</v>
      </c>
      <c r="Q1156" t="s">
        <v>33</v>
      </c>
      <c r="R1156" t="s">
        <v>34</v>
      </c>
      <c r="S1156" t="s">
        <v>35</v>
      </c>
      <c r="T1156" t="s">
        <v>35</v>
      </c>
      <c r="U1156" t="s">
        <v>34</v>
      </c>
      <c r="V1156" t="str">
        <f>""</f>
        <v/>
      </c>
      <c r="W1156">
        <v>20150218</v>
      </c>
      <c r="X1156" t="s">
        <v>168</v>
      </c>
      <c r="Y1156" t="s">
        <v>570</v>
      </c>
      <c r="Z1156" t="s">
        <v>570</v>
      </c>
      <c r="AA1156">
        <v>0</v>
      </c>
      <c r="AB1156" t="s">
        <v>142</v>
      </c>
      <c r="AC1156" t="s">
        <v>170</v>
      </c>
      <c r="AD1156" t="s">
        <v>40</v>
      </c>
      <c r="AE1156" t="str">
        <f t="shared" si="346"/>
        <v>02</v>
      </c>
      <c r="AF1156" t="s">
        <v>40</v>
      </c>
    </row>
    <row r="1157" spans="1:32" x14ac:dyDescent="0.25">
      <c r="A1157">
        <v>5</v>
      </c>
      <c r="B1157">
        <v>420</v>
      </c>
      <c r="C1157" t="str">
        <f>"34"</f>
        <v>34</v>
      </c>
      <c r="D1157">
        <v>6513</v>
      </c>
      <c r="E1157" t="str">
        <f t="shared" si="343"/>
        <v>00</v>
      </c>
      <c r="F1157" t="str">
        <f>"999"</f>
        <v>999</v>
      </c>
      <c r="G1157">
        <v>5</v>
      </c>
      <c r="H1157" t="str">
        <f t="shared" si="338"/>
        <v>99</v>
      </c>
      <c r="I1157" t="str">
        <f t="shared" si="347"/>
        <v>0</v>
      </c>
      <c r="J1157" t="str">
        <f t="shared" si="341"/>
        <v>00</v>
      </c>
      <c r="K1157">
        <v>20150219</v>
      </c>
      <c r="L1157" t="str">
        <f>"014808"</f>
        <v>014808</v>
      </c>
      <c r="M1157" t="str">
        <f>"00520"</f>
        <v>00520</v>
      </c>
      <c r="N1157" t="s">
        <v>329</v>
      </c>
      <c r="O1157" s="1">
        <v>1356.94</v>
      </c>
      <c r="Q1157" t="s">
        <v>33</v>
      </c>
      <c r="R1157" t="s">
        <v>34</v>
      </c>
      <c r="S1157" t="s">
        <v>35</v>
      </c>
      <c r="T1157" t="s">
        <v>35</v>
      </c>
      <c r="U1157" t="s">
        <v>34</v>
      </c>
      <c r="V1157" t="str">
        <f>""</f>
        <v/>
      </c>
      <c r="W1157">
        <v>20150217</v>
      </c>
      <c r="X1157" t="s">
        <v>330</v>
      </c>
      <c r="Y1157" t="s">
        <v>639</v>
      </c>
      <c r="Z1157" t="s">
        <v>639</v>
      </c>
      <c r="AA1157">
        <v>0</v>
      </c>
      <c r="AB1157" t="s">
        <v>142</v>
      </c>
      <c r="AC1157" t="s">
        <v>143</v>
      </c>
      <c r="AD1157" t="s">
        <v>40</v>
      </c>
      <c r="AE1157" t="str">
        <f t="shared" si="346"/>
        <v>02</v>
      </c>
      <c r="AF1157" t="s">
        <v>40</v>
      </c>
    </row>
    <row r="1158" spans="1:32" x14ac:dyDescent="0.25">
      <c r="A1158">
        <v>5</v>
      </c>
      <c r="B1158">
        <v>420</v>
      </c>
      <c r="C1158" t="str">
        <f>"34"</f>
        <v>34</v>
      </c>
      <c r="D1158">
        <v>6523</v>
      </c>
      <c r="E1158" t="str">
        <f t="shared" si="343"/>
        <v>00</v>
      </c>
      <c r="F1158" t="str">
        <f>"999"</f>
        <v>999</v>
      </c>
      <c r="G1158">
        <v>5</v>
      </c>
      <c r="H1158" t="str">
        <f t="shared" si="338"/>
        <v>99</v>
      </c>
      <c r="I1158" t="str">
        <f t="shared" si="347"/>
        <v>0</v>
      </c>
      <c r="J1158" t="str">
        <f t="shared" si="341"/>
        <v>00</v>
      </c>
      <c r="K1158">
        <v>20150219</v>
      </c>
      <c r="L1158" t="str">
        <f>"014808"</f>
        <v>014808</v>
      </c>
      <c r="M1158" t="str">
        <f>"00520"</f>
        <v>00520</v>
      </c>
      <c r="N1158" t="s">
        <v>329</v>
      </c>
      <c r="O1158">
        <v>358.48</v>
      </c>
      <c r="Q1158" t="s">
        <v>33</v>
      </c>
      <c r="R1158" t="s">
        <v>34</v>
      </c>
      <c r="S1158" t="s">
        <v>35</v>
      </c>
      <c r="T1158" t="s">
        <v>35</v>
      </c>
      <c r="U1158" t="s">
        <v>34</v>
      </c>
      <c r="V1158" t="str">
        <f>""</f>
        <v/>
      </c>
      <c r="W1158">
        <v>20150217</v>
      </c>
      <c r="X1158" t="s">
        <v>640</v>
      </c>
      <c r="Y1158" t="s">
        <v>639</v>
      </c>
      <c r="Z1158" t="s">
        <v>639</v>
      </c>
      <c r="AA1158">
        <v>0</v>
      </c>
      <c r="AB1158" t="s">
        <v>142</v>
      </c>
      <c r="AC1158" t="s">
        <v>143</v>
      </c>
      <c r="AD1158" t="s">
        <v>40</v>
      </c>
      <c r="AE1158" t="str">
        <f t="shared" si="346"/>
        <v>02</v>
      </c>
      <c r="AF1158" t="s">
        <v>40</v>
      </c>
    </row>
    <row r="1159" spans="1:32" x14ac:dyDescent="0.25">
      <c r="A1159">
        <v>5</v>
      </c>
      <c r="B1159">
        <v>420</v>
      </c>
      <c r="C1159" t="str">
        <f t="shared" ref="C1159:C1168" si="348">"00"</f>
        <v>00</v>
      </c>
      <c r="D1159">
        <v>2153</v>
      </c>
      <c r="E1159" t="str">
        <f t="shared" si="343"/>
        <v>00</v>
      </c>
      <c r="F1159" t="str">
        <f>"008"</f>
        <v>008</v>
      </c>
      <c r="G1159">
        <v>5</v>
      </c>
      <c r="H1159" t="str">
        <f t="shared" ref="H1159:H1168" si="349">"00"</f>
        <v>00</v>
      </c>
      <c r="I1159" t="str">
        <f t="shared" si="347"/>
        <v>0</v>
      </c>
      <c r="J1159" t="str">
        <f t="shared" si="341"/>
        <v>00</v>
      </c>
      <c r="K1159">
        <v>20150226</v>
      </c>
      <c r="L1159" t="str">
        <f>"014809"</f>
        <v>014809</v>
      </c>
      <c r="M1159" t="str">
        <f>"00012"</f>
        <v>00012</v>
      </c>
      <c r="N1159" t="s">
        <v>279</v>
      </c>
      <c r="O1159">
        <v>445.94</v>
      </c>
      <c r="Q1159" t="s">
        <v>33</v>
      </c>
      <c r="R1159" t="s">
        <v>34</v>
      </c>
      <c r="S1159" t="s">
        <v>35</v>
      </c>
      <c r="T1159" t="s">
        <v>35</v>
      </c>
      <c r="U1159" t="s">
        <v>34</v>
      </c>
      <c r="V1159" t="str">
        <f>""</f>
        <v/>
      </c>
      <c r="W1159">
        <v>20150226</v>
      </c>
      <c r="X1159" t="s">
        <v>280</v>
      </c>
      <c r="Y1159" t="s">
        <v>729</v>
      </c>
      <c r="Z1159" t="s">
        <v>729</v>
      </c>
      <c r="AA1159">
        <v>0</v>
      </c>
      <c r="AB1159" t="s">
        <v>142</v>
      </c>
      <c r="AC1159" t="s">
        <v>282</v>
      </c>
      <c r="AD1159" t="s">
        <v>144</v>
      </c>
      <c r="AE1159" t="str">
        <f t="shared" si="346"/>
        <v>02</v>
      </c>
      <c r="AF1159" t="s">
        <v>40</v>
      </c>
    </row>
    <row r="1160" spans="1:32" x14ac:dyDescent="0.25">
      <c r="A1160">
        <v>5</v>
      </c>
      <c r="B1160">
        <v>420</v>
      </c>
      <c r="C1160" t="str">
        <f t="shared" si="348"/>
        <v>00</v>
      </c>
      <c r="D1160">
        <v>2159</v>
      </c>
      <c r="E1160" t="str">
        <f t="shared" si="343"/>
        <v>00</v>
      </c>
      <c r="F1160" t="str">
        <f>"009"</f>
        <v>009</v>
      </c>
      <c r="G1160">
        <v>5</v>
      </c>
      <c r="H1160" t="str">
        <f t="shared" si="349"/>
        <v>00</v>
      </c>
      <c r="I1160" t="str">
        <f t="shared" si="347"/>
        <v>0</v>
      </c>
      <c r="J1160" t="str">
        <f t="shared" si="341"/>
        <v>00</v>
      </c>
      <c r="K1160">
        <v>20150226</v>
      </c>
      <c r="L1160" t="str">
        <f>"014809"</f>
        <v>014809</v>
      </c>
      <c r="M1160" t="str">
        <f>"00012"</f>
        <v>00012</v>
      </c>
      <c r="N1160" t="s">
        <v>279</v>
      </c>
      <c r="O1160">
        <v>415.21</v>
      </c>
      <c r="Q1160" t="s">
        <v>33</v>
      </c>
      <c r="R1160" t="s">
        <v>34</v>
      </c>
      <c r="S1160" t="s">
        <v>35</v>
      </c>
      <c r="T1160" t="s">
        <v>35</v>
      </c>
      <c r="U1160" t="s">
        <v>34</v>
      </c>
      <c r="V1160" t="str">
        <f>""</f>
        <v/>
      </c>
      <c r="W1160">
        <v>20150226</v>
      </c>
      <c r="X1160" t="s">
        <v>283</v>
      </c>
      <c r="Y1160" t="s">
        <v>730</v>
      </c>
      <c r="Z1160" t="s">
        <v>730</v>
      </c>
      <c r="AA1160">
        <v>0</v>
      </c>
      <c r="AB1160" t="s">
        <v>142</v>
      </c>
      <c r="AC1160" t="s">
        <v>285</v>
      </c>
      <c r="AD1160" t="s">
        <v>144</v>
      </c>
      <c r="AE1160" t="str">
        <f t="shared" si="346"/>
        <v>02</v>
      </c>
      <c r="AF1160" t="s">
        <v>40</v>
      </c>
    </row>
    <row r="1161" spans="1:32" x14ac:dyDescent="0.25">
      <c r="A1161">
        <v>5</v>
      </c>
      <c r="B1161">
        <v>420</v>
      </c>
      <c r="C1161" t="str">
        <f t="shared" si="348"/>
        <v>00</v>
      </c>
      <c r="D1161">
        <v>2153</v>
      </c>
      <c r="E1161" t="str">
        <f t="shared" si="343"/>
        <v>00</v>
      </c>
      <c r="F1161" t="str">
        <f>"005"</f>
        <v>005</v>
      </c>
      <c r="G1161">
        <v>5</v>
      </c>
      <c r="H1161" t="str">
        <f t="shared" si="349"/>
        <v>00</v>
      </c>
      <c r="I1161" t="str">
        <f t="shared" si="347"/>
        <v>0</v>
      </c>
      <c r="J1161" t="str">
        <f t="shared" si="341"/>
        <v>00</v>
      </c>
      <c r="K1161">
        <v>20150226</v>
      </c>
      <c r="L1161" t="str">
        <f>"014810"</f>
        <v>014810</v>
      </c>
      <c r="M1161" t="str">
        <f>"00226"</f>
        <v>00226</v>
      </c>
      <c r="N1161" t="s">
        <v>286</v>
      </c>
      <c r="O1161">
        <v>866.16</v>
      </c>
      <c r="Q1161" t="s">
        <v>33</v>
      </c>
      <c r="R1161" t="s">
        <v>34</v>
      </c>
      <c r="S1161" t="s">
        <v>35</v>
      </c>
      <c r="T1161" t="s">
        <v>35</v>
      </c>
      <c r="U1161" t="s">
        <v>34</v>
      </c>
      <c r="V1161" t="str">
        <f>""</f>
        <v/>
      </c>
      <c r="W1161">
        <v>20150226</v>
      </c>
      <c r="X1161" t="s">
        <v>287</v>
      </c>
      <c r="Y1161" t="s">
        <v>729</v>
      </c>
      <c r="Z1161" t="s">
        <v>729</v>
      </c>
      <c r="AA1161">
        <v>0</v>
      </c>
      <c r="AB1161" t="s">
        <v>142</v>
      </c>
      <c r="AC1161" t="s">
        <v>288</v>
      </c>
      <c r="AD1161" t="s">
        <v>144</v>
      </c>
      <c r="AE1161" t="str">
        <f t="shared" si="346"/>
        <v>02</v>
      </c>
      <c r="AF1161" t="s">
        <v>40</v>
      </c>
    </row>
    <row r="1162" spans="1:32" x14ac:dyDescent="0.25">
      <c r="A1162">
        <v>5</v>
      </c>
      <c r="B1162">
        <v>420</v>
      </c>
      <c r="C1162" t="str">
        <f t="shared" si="348"/>
        <v>00</v>
      </c>
      <c r="D1162">
        <v>2153</v>
      </c>
      <c r="E1162" t="str">
        <f t="shared" si="343"/>
        <v>00</v>
      </c>
      <c r="F1162" t="str">
        <f>"006"</f>
        <v>006</v>
      </c>
      <c r="G1162">
        <v>5</v>
      </c>
      <c r="H1162" t="str">
        <f t="shared" si="349"/>
        <v>00</v>
      </c>
      <c r="I1162" t="str">
        <f t="shared" si="347"/>
        <v>0</v>
      </c>
      <c r="J1162" t="str">
        <f t="shared" si="341"/>
        <v>00</v>
      </c>
      <c r="K1162">
        <v>20150226</v>
      </c>
      <c r="L1162" t="str">
        <f>"014810"</f>
        <v>014810</v>
      </c>
      <c r="M1162" t="str">
        <f>"00226"</f>
        <v>00226</v>
      </c>
      <c r="N1162" t="s">
        <v>286</v>
      </c>
      <c r="O1162">
        <v>162.06</v>
      </c>
      <c r="Q1162" t="s">
        <v>33</v>
      </c>
      <c r="R1162" t="s">
        <v>34</v>
      </c>
      <c r="S1162" t="s">
        <v>35</v>
      </c>
      <c r="T1162" t="s">
        <v>35</v>
      </c>
      <c r="U1162" t="s">
        <v>34</v>
      </c>
      <c r="V1162" t="str">
        <f>""</f>
        <v/>
      </c>
      <c r="W1162">
        <v>20150226</v>
      </c>
      <c r="X1162" t="s">
        <v>289</v>
      </c>
      <c r="Y1162" t="s">
        <v>729</v>
      </c>
      <c r="Z1162" t="s">
        <v>729</v>
      </c>
      <c r="AA1162">
        <v>0</v>
      </c>
      <c r="AB1162" t="s">
        <v>142</v>
      </c>
      <c r="AC1162" t="s">
        <v>290</v>
      </c>
      <c r="AD1162" t="s">
        <v>144</v>
      </c>
      <c r="AE1162" t="str">
        <f t="shared" si="346"/>
        <v>02</v>
      </c>
      <c r="AF1162" t="s">
        <v>40</v>
      </c>
    </row>
    <row r="1163" spans="1:32" x14ac:dyDescent="0.25">
      <c r="A1163">
        <v>5</v>
      </c>
      <c r="B1163">
        <v>420</v>
      </c>
      <c r="C1163" t="str">
        <f t="shared" si="348"/>
        <v>00</v>
      </c>
      <c r="D1163">
        <v>2159</v>
      </c>
      <c r="E1163" t="str">
        <f t="shared" si="343"/>
        <v>00</v>
      </c>
      <c r="F1163" t="str">
        <f>"021"</f>
        <v>021</v>
      </c>
      <c r="G1163">
        <v>5</v>
      </c>
      <c r="H1163" t="str">
        <f t="shared" si="349"/>
        <v>00</v>
      </c>
      <c r="I1163" t="str">
        <f t="shared" si="347"/>
        <v>0</v>
      </c>
      <c r="J1163" t="str">
        <f t="shared" si="341"/>
        <v>00</v>
      </c>
      <c r="K1163">
        <v>20150226</v>
      </c>
      <c r="L1163" t="str">
        <f>"014811"</f>
        <v>014811</v>
      </c>
      <c r="M1163" t="str">
        <f>"00291"</f>
        <v>00291</v>
      </c>
      <c r="N1163" t="s">
        <v>658</v>
      </c>
      <c r="O1163" s="1">
        <v>1250</v>
      </c>
      <c r="Q1163" t="s">
        <v>33</v>
      </c>
      <c r="R1163" t="s">
        <v>34</v>
      </c>
      <c r="S1163" t="s">
        <v>35</v>
      </c>
      <c r="T1163" t="s">
        <v>35</v>
      </c>
      <c r="U1163" t="s">
        <v>34</v>
      </c>
      <c r="V1163" t="str">
        <f>""</f>
        <v/>
      </c>
      <c r="W1163">
        <v>20150226</v>
      </c>
      <c r="X1163" t="s">
        <v>292</v>
      </c>
      <c r="Y1163" t="s">
        <v>731</v>
      </c>
      <c r="Z1163" t="s">
        <v>731</v>
      </c>
      <c r="AA1163">
        <v>0</v>
      </c>
      <c r="AB1163" t="s">
        <v>142</v>
      </c>
      <c r="AC1163" t="s">
        <v>294</v>
      </c>
      <c r="AD1163" t="s">
        <v>144</v>
      </c>
      <c r="AE1163" t="str">
        <f t="shared" si="346"/>
        <v>02</v>
      </c>
      <c r="AF1163" t="s">
        <v>40</v>
      </c>
    </row>
    <row r="1164" spans="1:32" x14ac:dyDescent="0.25">
      <c r="A1164">
        <v>5</v>
      </c>
      <c r="B1164">
        <v>420</v>
      </c>
      <c r="C1164" t="str">
        <f t="shared" si="348"/>
        <v>00</v>
      </c>
      <c r="D1164">
        <v>2159</v>
      </c>
      <c r="E1164" t="str">
        <f t="shared" si="343"/>
        <v>00</v>
      </c>
      <c r="F1164" t="str">
        <f>"150"</f>
        <v>150</v>
      </c>
      <c r="G1164">
        <v>5</v>
      </c>
      <c r="H1164" t="str">
        <f t="shared" si="349"/>
        <v>00</v>
      </c>
      <c r="I1164" t="str">
        <f t="shared" si="347"/>
        <v>0</v>
      </c>
      <c r="J1164" t="str">
        <f t="shared" si="341"/>
        <v>00</v>
      </c>
      <c r="K1164">
        <v>20150226</v>
      </c>
      <c r="L1164" t="str">
        <f>"014812"</f>
        <v>014812</v>
      </c>
      <c r="M1164" t="str">
        <f>"00355"</f>
        <v>00355</v>
      </c>
      <c r="N1164" t="s">
        <v>295</v>
      </c>
      <c r="O1164">
        <v>417.16</v>
      </c>
      <c r="Q1164" t="s">
        <v>33</v>
      </c>
      <c r="R1164" t="s">
        <v>34</v>
      </c>
      <c r="S1164" t="s">
        <v>35</v>
      </c>
      <c r="T1164" t="s">
        <v>35</v>
      </c>
      <c r="U1164" t="s">
        <v>34</v>
      </c>
      <c r="V1164" t="str">
        <f>""</f>
        <v/>
      </c>
      <c r="W1164">
        <v>20150226</v>
      </c>
      <c r="X1164" t="s">
        <v>296</v>
      </c>
      <c r="Y1164" t="s">
        <v>731</v>
      </c>
      <c r="Z1164" t="s">
        <v>731</v>
      </c>
      <c r="AA1164">
        <v>0</v>
      </c>
      <c r="AB1164" t="s">
        <v>142</v>
      </c>
      <c r="AC1164" t="s">
        <v>297</v>
      </c>
      <c r="AD1164" t="s">
        <v>144</v>
      </c>
      <c r="AE1164" t="str">
        <f t="shared" si="346"/>
        <v>02</v>
      </c>
      <c r="AF1164" t="s">
        <v>40</v>
      </c>
    </row>
    <row r="1165" spans="1:32" x14ac:dyDescent="0.25">
      <c r="A1165">
        <v>5</v>
      </c>
      <c r="B1165">
        <v>420</v>
      </c>
      <c r="C1165" t="str">
        <f t="shared" si="348"/>
        <v>00</v>
      </c>
      <c r="D1165">
        <v>2159</v>
      </c>
      <c r="E1165" t="str">
        <f t="shared" si="343"/>
        <v>00</v>
      </c>
      <c r="F1165" t="str">
        <f>"154"</f>
        <v>154</v>
      </c>
      <c r="G1165">
        <v>5</v>
      </c>
      <c r="H1165" t="str">
        <f t="shared" si="349"/>
        <v>00</v>
      </c>
      <c r="I1165" t="str">
        <f t="shared" si="347"/>
        <v>0</v>
      </c>
      <c r="J1165" t="str">
        <f t="shared" si="341"/>
        <v>00</v>
      </c>
      <c r="K1165">
        <v>20150226</v>
      </c>
      <c r="L1165" t="str">
        <f>"014813"</f>
        <v>014813</v>
      </c>
      <c r="M1165" t="str">
        <f>"00684"</f>
        <v>00684</v>
      </c>
      <c r="N1165" t="s">
        <v>466</v>
      </c>
      <c r="O1165">
        <v>680</v>
      </c>
      <c r="Q1165" t="s">
        <v>33</v>
      </c>
      <c r="R1165" t="s">
        <v>34</v>
      </c>
      <c r="S1165" t="s">
        <v>35</v>
      </c>
      <c r="T1165" t="s">
        <v>35</v>
      </c>
      <c r="U1165" t="s">
        <v>34</v>
      </c>
      <c r="V1165" t="str">
        <f>""</f>
        <v/>
      </c>
      <c r="W1165">
        <v>20150226</v>
      </c>
      <c r="X1165" t="s">
        <v>467</v>
      </c>
      <c r="Y1165" t="s">
        <v>731</v>
      </c>
      <c r="Z1165" t="s">
        <v>731</v>
      </c>
      <c r="AA1165">
        <v>0</v>
      </c>
      <c r="AB1165" t="s">
        <v>142</v>
      </c>
      <c r="AC1165" t="s">
        <v>468</v>
      </c>
      <c r="AD1165" t="s">
        <v>144</v>
      </c>
      <c r="AE1165" t="str">
        <f t="shared" si="346"/>
        <v>02</v>
      </c>
      <c r="AF1165" t="s">
        <v>40</v>
      </c>
    </row>
    <row r="1166" spans="1:32" x14ac:dyDescent="0.25">
      <c r="A1166">
        <v>5</v>
      </c>
      <c r="B1166">
        <v>420</v>
      </c>
      <c r="C1166" t="str">
        <f t="shared" si="348"/>
        <v>00</v>
      </c>
      <c r="D1166">
        <v>2159</v>
      </c>
      <c r="E1166" t="str">
        <f t="shared" si="343"/>
        <v>00</v>
      </c>
      <c r="F1166" t="str">
        <f>"158"</f>
        <v>158</v>
      </c>
      <c r="G1166">
        <v>5</v>
      </c>
      <c r="H1166" t="str">
        <f t="shared" si="349"/>
        <v>00</v>
      </c>
      <c r="I1166" t="str">
        <f t="shared" si="347"/>
        <v>0</v>
      </c>
      <c r="J1166" t="str">
        <f t="shared" si="341"/>
        <v>00</v>
      </c>
      <c r="K1166">
        <v>20150226</v>
      </c>
      <c r="L1166" t="str">
        <f>"014814"</f>
        <v>014814</v>
      </c>
      <c r="M1166" t="str">
        <f>"00773"</f>
        <v>00773</v>
      </c>
      <c r="N1166" t="s">
        <v>298</v>
      </c>
      <c r="O1166">
        <v>25</v>
      </c>
      <c r="Q1166" t="s">
        <v>33</v>
      </c>
      <c r="R1166" t="s">
        <v>34</v>
      </c>
      <c r="S1166" t="s">
        <v>35</v>
      </c>
      <c r="T1166" t="s">
        <v>35</v>
      </c>
      <c r="U1166" t="s">
        <v>34</v>
      </c>
      <c r="V1166" t="str">
        <f>""</f>
        <v/>
      </c>
      <c r="W1166">
        <v>20150226</v>
      </c>
      <c r="X1166" t="s">
        <v>299</v>
      </c>
      <c r="Y1166" t="s">
        <v>732</v>
      </c>
      <c r="Z1166" t="s">
        <v>732</v>
      </c>
      <c r="AA1166">
        <v>0</v>
      </c>
      <c r="AB1166" t="s">
        <v>142</v>
      </c>
      <c r="AC1166" t="s">
        <v>298</v>
      </c>
      <c r="AD1166" t="s">
        <v>144</v>
      </c>
      <c r="AE1166" t="str">
        <f t="shared" si="346"/>
        <v>02</v>
      </c>
      <c r="AF1166" t="s">
        <v>40</v>
      </c>
    </row>
    <row r="1167" spans="1:32" x14ac:dyDescent="0.25">
      <c r="A1167">
        <v>5</v>
      </c>
      <c r="B1167">
        <v>420</v>
      </c>
      <c r="C1167" t="str">
        <f t="shared" si="348"/>
        <v>00</v>
      </c>
      <c r="D1167">
        <v>2159</v>
      </c>
      <c r="E1167" t="str">
        <f t="shared" si="343"/>
        <v>00</v>
      </c>
      <c r="F1167" t="str">
        <f>"164"</f>
        <v>164</v>
      </c>
      <c r="G1167">
        <v>5</v>
      </c>
      <c r="H1167" t="str">
        <f t="shared" si="349"/>
        <v>00</v>
      </c>
      <c r="I1167" t="str">
        <f t="shared" si="347"/>
        <v>0</v>
      </c>
      <c r="J1167" t="str">
        <f t="shared" si="341"/>
        <v>00</v>
      </c>
      <c r="K1167">
        <v>20150226</v>
      </c>
      <c r="L1167" t="str">
        <f>"014815"</f>
        <v>014815</v>
      </c>
      <c r="M1167" t="str">
        <f>"00787"</f>
        <v>00787</v>
      </c>
      <c r="N1167" t="s">
        <v>469</v>
      </c>
      <c r="O1167">
        <v>225</v>
      </c>
      <c r="Q1167" t="s">
        <v>33</v>
      </c>
      <c r="R1167" t="s">
        <v>34</v>
      </c>
      <c r="S1167" t="s">
        <v>35</v>
      </c>
      <c r="T1167" t="s">
        <v>35</v>
      </c>
      <c r="U1167" t="s">
        <v>34</v>
      </c>
      <c r="V1167" t="str">
        <f>""</f>
        <v/>
      </c>
      <c r="W1167">
        <v>20150226</v>
      </c>
      <c r="X1167" t="s">
        <v>470</v>
      </c>
      <c r="Y1167" t="s">
        <v>732</v>
      </c>
      <c r="Z1167" t="s">
        <v>732</v>
      </c>
      <c r="AA1167">
        <v>0</v>
      </c>
      <c r="AB1167" t="s">
        <v>142</v>
      </c>
      <c r="AC1167" t="s">
        <v>472</v>
      </c>
      <c r="AD1167" t="s">
        <v>144</v>
      </c>
      <c r="AE1167" t="str">
        <f t="shared" si="346"/>
        <v>02</v>
      </c>
      <c r="AF1167" t="s">
        <v>40</v>
      </c>
    </row>
    <row r="1168" spans="1:32" x14ac:dyDescent="0.25">
      <c r="A1168">
        <v>5</v>
      </c>
      <c r="B1168">
        <v>420</v>
      </c>
      <c r="C1168" t="str">
        <f t="shared" si="348"/>
        <v>00</v>
      </c>
      <c r="D1168">
        <v>2159</v>
      </c>
      <c r="E1168" t="str">
        <f t="shared" si="343"/>
        <v>00</v>
      </c>
      <c r="F1168" t="str">
        <f>"165"</f>
        <v>165</v>
      </c>
      <c r="G1168">
        <v>5</v>
      </c>
      <c r="H1168" t="str">
        <f t="shared" si="349"/>
        <v>00</v>
      </c>
      <c r="I1168" t="str">
        <f t="shared" si="347"/>
        <v>0</v>
      </c>
      <c r="J1168" t="str">
        <f t="shared" si="341"/>
        <v>00</v>
      </c>
      <c r="K1168">
        <v>20150226</v>
      </c>
      <c r="L1168" t="str">
        <f>"014816"</f>
        <v>014816</v>
      </c>
      <c r="M1168" t="str">
        <f>"00794"</f>
        <v>00794</v>
      </c>
      <c r="N1168" t="s">
        <v>613</v>
      </c>
      <c r="O1168">
        <v>30</v>
      </c>
      <c r="Q1168" t="s">
        <v>33</v>
      </c>
      <c r="R1168" t="s">
        <v>34</v>
      </c>
      <c r="S1168" t="s">
        <v>35</v>
      </c>
      <c r="T1168" t="s">
        <v>35</v>
      </c>
      <c r="U1168" t="s">
        <v>34</v>
      </c>
      <c r="V1168" t="str">
        <f>""</f>
        <v/>
      </c>
      <c r="W1168">
        <v>20150226</v>
      </c>
      <c r="X1168" t="s">
        <v>614</v>
      </c>
      <c r="Y1168" t="s">
        <v>731</v>
      </c>
      <c r="Z1168" t="s">
        <v>731</v>
      </c>
      <c r="AA1168">
        <v>0</v>
      </c>
      <c r="AB1168" t="s">
        <v>142</v>
      </c>
      <c r="AC1168" t="s">
        <v>613</v>
      </c>
      <c r="AD1168" t="s">
        <v>144</v>
      </c>
      <c r="AE1168" t="str">
        <f t="shared" si="346"/>
        <v>02</v>
      </c>
      <c r="AF1168" t="s">
        <v>40</v>
      </c>
    </row>
    <row r="1169" spans="1:32" x14ac:dyDescent="0.25">
      <c r="A1169">
        <v>5</v>
      </c>
      <c r="B1169">
        <v>224</v>
      </c>
      <c r="C1169" t="str">
        <f t="shared" ref="C1169:C1178" si="350">"11"</f>
        <v>11</v>
      </c>
      <c r="D1169">
        <v>6219</v>
      </c>
      <c r="E1169" t="str">
        <f t="shared" si="343"/>
        <v>00</v>
      </c>
      <c r="F1169" t="str">
        <f>"999"</f>
        <v>999</v>
      </c>
      <c r="G1169">
        <v>5</v>
      </c>
      <c r="H1169" t="str">
        <f>"23"</f>
        <v>23</v>
      </c>
      <c r="I1169" t="str">
        <f t="shared" si="347"/>
        <v>0</v>
      </c>
      <c r="J1169" t="str">
        <f t="shared" si="341"/>
        <v>00</v>
      </c>
      <c r="K1169">
        <v>20150226</v>
      </c>
      <c r="L1169" t="str">
        <f t="shared" ref="L1169:L1187" si="351">"014817"</f>
        <v>014817</v>
      </c>
      <c r="M1169" t="str">
        <f t="shared" ref="M1169:M1187" si="352">"00015"</f>
        <v>00015</v>
      </c>
      <c r="N1169" t="s">
        <v>44</v>
      </c>
      <c r="O1169">
        <v>280</v>
      </c>
      <c r="Q1169" t="s">
        <v>33</v>
      </c>
      <c r="R1169" t="s">
        <v>34</v>
      </c>
      <c r="S1169" t="s">
        <v>35</v>
      </c>
      <c r="T1169" t="s">
        <v>35</v>
      </c>
      <c r="U1169" t="s">
        <v>34</v>
      </c>
      <c r="V1169" t="str">
        <f>""</f>
        <v/>
      </c>
      <c r="W1169">
        <v>20150225</v>
      </c>
      <c r="X1169" t="s">
        <v>209</v>
      </c>
      <c r="Y1169" t="s">
        <v>733</v>
      </c>
      <c r="Z1169" t="s">
        <v>733</v>
      </c>
      <c r="AA1169">
        <v>0</v>
      </c>
      <c r="AB1169" t="s">
        <v>211</v>
      </c>
      <c r="AC1169" t="s">
        <v>143</v>
      </c>
      <c r="AD1169" t="s">
        <v>40</v>
      </c>
      <c r="AE1169" t="str">
        <f t="shared" si="346"/>
        <v>02</v>
      </c>
      <c r="AF1169" t="s">
        <v>40</v>
      </c>
    </row>
    <row r="1170" spans="1:32" x14ac:dyDescent="0.25">
      <c r="A1170">
        <v>5</v>
      </c>
      <c r="B1170">
        <v>224</v>
      </c>
      <c r="C1170" t="str">
        <f t="shared" si="350"/>
        <v>11</v>
      </c>
      <c r="D1170">
        <v>6219</v>
      </c>
      <c r="E1170" t="str">
        <f t="shared" si="343"/>
        <v>00</v>
      </c>
      <c r="F1170" t="str">
        <f>"999"</f>
        <v>999</v>
      </c>
      <c r="G1170">
        <v>5</v>
      </c>
      <c r="H1170" t="str">
        <f>"23"</f>
        <v>23</v>
      </c>
      <c r="I1170" t="str">
        <f t="shared" si="347"/>
        <v>0</v>
      </c>
      <c r="J1170" t="str">
        <f t="shared" si="341"/>
        <v>00</v>
      </c>
      <c r="K1170">
        <v>20150226</v>
      </c>
      <c r="L1170" t="str">
        <f t="shared" si="351"/>
        <v>014817</v>
      </c>
      <c r="M1170" t="str">
        <f t="shared" si="352"/>
        <v>00015</v>
      </c>
      <c r="N1170" t="s">
        <v>44</v>
      </c>
      <c r="O1170">
        <v>515</v>
      </c>
      <c r="Q1170" t="s">
        <v>33</v>
      </c>
      <c r="R1170" t="s">
        <v>34</v>
      </c>
      <c r="S1170" t="s">
        <v>35</v>
      </c>
      <c r="T1170" t="s">
        <v>35</v>
      </c>
      <c r="U1170" t="s">
        <v>34</v>
      </c>
      <c r="V1170" t="str">
        <f>""</f>
        <v/>
      </c>
      <c r="W1170">
        <v>20150225</v>
      </c>
      <c r="X1170" t="s">
        <v>209</v>
      </c>
      <c r="Y1170" t="s">
        <v>734</v>
      </c>
      <c r="Z1170" t="s">
        <v>734</v>
      </c>
      <c r="AA1170">
        <v>0</v>
      </c>
      <c r="AB1170" t="s">
        <v>211</v>
      </c>
      <c r="AC1170" t="s">
        <v>143</v>
      </c>
      <c r="AD1170" t="s">
        <v>40</v>
      </c>
      <c r="AE1170" t="str">
        <f t="shared" si="346"/>
        <v>02</v>
      </c>
      <c r="AF1170" t="s">
        <v>40</v>
      </c>
    </row>
    <row r="1171" spans="1:32" x14ac:dyDescent="0.25">
      <c r="A1171">
        <v>5</v>
      </c>
      <c r="B1171">
        <v>420</v>
      </c>
      <c r="C1171" t="str">
        <f t="shared" si="350"/>
        <v>11</v>
      </c>
      <c r="D1171">
        <v>6315</v>
      </c>
      <c r="E1171" t="str">
        <f t="shared" si="343"/>
        <v>00</v>
      </c>
      <c r="F1171" t="str">
        <f>"001"</f>
        <v>001</v>
      </c>
      <c r="G1171">
        <v>5</v>
      </c>
      <c r="H1171" t="str">
        <f t="shared" ref="H1171:H1178" si="353">"11"</f>
        <v>11</v>
      </c>
      <c r="I1171" t="str">
        <f t="shared" si="347"/>
        <v>0</v>
      </c>
      <c r="J1171" t="str">
        <f t="shared" si="341"/>
        <v>00</v>
      </c>
      <c r="K1171">
        <v>20150226</v>
      </c>
      <c r="L1171" t="str">
        <f t="shared" si="351"/>
        <v>014817</v>
      </c>
      <c r="M1171" t="str">
        <f t="shared" si="352"/>
        <v>00015</v>
      </c>
      <c r="N1171" t="s">
        <v>44</v>
      </c>
      <c r="O1171">
        <v>4.4800000000000004</v>
      </c>
      <c r="Q1171" t="s">
        <v>33</v>
      </c>
      <c r="R1171" t="s">
        <v>34</v>
      </c>
      <c r="S1171" t="s">
        <v>35</v>
      </c>
      <c r="T1171" t="s">
        <v>35</v>
      </c>
      <c r="U1171" t="s">
        <v>34</v>
      </c>
      <c r="V1171" t="str">
        <f>""</f>
        <v/>
      </c>
      <c r="W1171">
        <v>20150225</v>
      </c>
      <c r="X1171" t="s">
        <v>426</v>
      </c>
      <c r="Y1171" t="s">
        <v>735</v>
      </c>
      <c r="Z1171" t="s">
        <v>735</v>
      </c>
      <c r="AA1171">
        <v>0</v>
      </c>
      <c r="AB1171" t="s">
        <v>142</v>
      </c>
      <c r="AC1171" t="s">
        <v>41</v>
      </c>
      <c r="AD1171" t="s">
        <v>40</v>
      </c>
      <c r="AE1171" t="str">
        <f t="shared" si="346"/>
        <v>02</v>
      </c>
      <c r="AF1171" t="s">
        <v>40</v>
      </c>
    </row>
    <row r="1172" spans="1:32" x14ac:dyDescent="0.25">
      <c r="A1172">
        <v>5</v>
      </c>
      <c r="B1172">
        <v>420</v>
      </c>
      <c r="C1172" t="str">
        <f t="shared" si="350"/>
        <v>11</v>
      </c>
      <c r="D1172">
        <v>6315</v>
      </c>
      <c r="E1172" t="str">
        <f t="shared" si="343"/>
        <v>00</v>
      </c>
      <c r="F1172" t="str">
        <f>"041"</f>
        <v>041</v>
      </c>
      <c r="G1172">
        <v>5</v>
      </c>
      <c r="H1172" t="str">
        <f t="shared" si="353"/>
        <v>11</v>
      </c>
      <c r="I1172" t="str">
        <f t="shared" si="347"/>
        <v>0</v>
      </c>
      <c r="J1172" t="str">
        <f t="shared" si="341"/>
        <v>00</v>
      </c>
      <c r="K1172">
        <v>20150226</v>
      </c>
      <c r="L1172" t="str">
        <f t="shared" si="351"/>
        <v>014817</v>
      </c>
      <c r="M1172" t="str">
        <f t="shared" si="352"/>
        <v>00015</v>
      </c>
      <c r="N1172" t="s">
        <v>44</v>
      </c>
      <c r="O1172">
        <v>4.47</v>
      </c>
      <c r="Q1172" t="s">
        <v>33</v>
      </c>
      <c r="R1172" t="s">
        <v>34</v>
      </c>
      <c r="S1172" t="s">
        <v>35</v>
      </c>
      <c r="T1172" t="s">
        <v>35</v>
      </c>
      <c r="U1172" t="s">
        <v>34</v>
      </c>
      <c r="V1172" t="str">
        <f>""</f>
        <v/>
      </c>
      <c r="W1172">
        <v>20150225</v>
      </c>
      <c r="X1172" t="s">
        <v>428</v>
      </c>
      <c r="Y1172" t="s">
        <v>735</v>
      </c>
      <c r="Z1172" t="s">
        <v>735</v>
      </c>
      <c r="AA1172">
        <v>0</v>
      </c>
      <c r="AB1172" t="s">
        <v>142</v>
      </c>
      <c r="AC1172" t="s">
        <v>41</v>
      </c>
      <c r="AD1172" t="s">
        <v>40</v>
      </c>
      <c r="AE1172" t="str">
        <f t="shared" si="346"/>
        <v>02</v>
      </c>
      <c r="AF1172" t="s">
        <v>40</v>
      </c>
    </row>
    <row r="1173" spans="1:32" x14ac:dyDescent="0.25">
      <c r="A1173">
        <v>5</v>
      </c>
      <c r="B1173">
        <v>420</v>
      </c>
      <c r="C1173" t="str">
        <f t="shared" si="350"/>
        <v>11</v>
      </c>
      <c r="D1173">
        <v>6315</v>
      </c>
      <c r="E1173" t="str">
        <f t="shared" si="343"/>
        <v>00</v>
      </c>
      <c r="F1173" t="str">
        <f>"101"</f>
        <v>101</v>
      </c>
      <c r="G1173">
        <v>5</v>
      </c>
      <c r="H1173" t="str">
        <f t="shared" si="353"/>
        <v>11</v>
      </c>
      <c r="I1173" t="str">
        <f t="shared" si="347"/>
        <v>0</v>
      </c>
      <c r="J1173" t="str">
        <f t="shared" si="341"/>
        <v>00</v>
      </c>
      <c r="K1173">
        <v>20150226</v>
      </c>
      <c r="L1173" t="str">
        <f t="shared" si="351"/>
        <v>014817</v>
      </c>
      <c r="M1173" t="str">
        <f t="shared" si="352"/>
        <v>00015</v>
      </c>
      <c r="N1173" t="s">
        <v>44</v>
      </c>
      <c r="O1173">
        <v>32.11</v>
      </c>
      <c r="Q1173" t="s">
        <v>33</v>
      </c>
      <c r="R1173" t="s">
        <v>34</v>
      </c>
      <c r="S1173" t="s">
        <v>35</v>
      </c>
      <c r="T1173" t="s">
        <v>35</v>
      </c>
      <c r="U1173" t="s">
        <v>34</v>
      </c>
      <c r="V1173" t="str">
        <f>""</f>
        <v/>
      </c>
      <c r="W1173">
        <v>20150225</v>
      </c>
      <c r="X1173" t="s">
        <v>482</v>
      </c>
      <c r="Y1173" t="s">
        <v>735</v>
      </c>
      <c r="Z1173" t="s">
        <v>735</v>
      </c>
      <c r="AA1173">
        <v>0</v>
      </c>
      <c r="AB1173" t="s">
        <v>142</v>
      </c>
      <c r="AC1173" t="s">
        <v>41</v>
      </c>
      <c r="AD1173" t="s">
        <v>40</v>
      </c>
      <c r="AE1173" t="str">
        <f t="shared" si="346"/>
        <v>02</v>
      </c>
      <c r="AF1173" t="s">
        <v>40</v>
      </c>
    </row>
    <row r="1174" spans="1:32" x14ac:dyDescent="0.25">
      <c r="A1174">
        <v>5</v>
      </c>
      <c r="B1174">
        <v>420</v>
      </c>
      <c r="C1174" t="str">
        <f t="shared" si="350"/>
        <v>11</v>
      </c>
      <c r="D1174">
        <v>6339</v>
      </c>
      <c r="E1174" t="str">
        <f t="shared" si="343"/>
        <v>00</v>
      </c>
      <c r="F1174" t="str">
        <f>"001"</f>
        <v>001</v>
      </c>
      <c r="G1174">
        <v>5</v>
      </c>
      <c r="H1174" t="str">
        <f t="shared" si="353"/>
        <v>11</v>
      </c>
      <c r="I1174" t="str">
        <f t="shared" si="347"/>
        <v>0</v>
      </c>
      <c r="J1174" t="str">
        <f t="shared" si="341"/>
        <v>00</v>
      </c>
      <c r="K1174">
        <v>20150226</v>
      </c>
      <c r="L1174" t="str">
        <f t="shared" si="351"/>
        <v>014817</v>
      </c>
      <c r="M1174" t="str">
        <f t="shared" si="352"/>
        <v>00015</v>
      </c>
      <c r="N1174" t="s">
        <v>44</v>
      </c>
      <c r="O1174">
        <v>55</v>
      </c>
      <c r="Q1174" t="s">
        <v>33</v>
      </c>
      <c r="R1174" t="s">
        <v>34</v>
      </c>
      <c r="S1174" t="s">
        <v>35</v>
      </c>
      <c r="T1174" t="s">
        <v>35</v>
      </c>
      <c r="U1174" t="s">
        <v>34</v>
      </c>
      <c r="V1174" t="str">
        <f>""</f>
        <v/>
      </c>
      <c r="W1174">
        <v>20150225</v>
      </c>
      <c r="X1174" t="s">
        <v>662</v>
      </c>
      <c r="Y1174" t="s">
        <v>736</v>
      </c>
      <c r="Z1174" t="s">
        <v>736</v>
      </c>
      <c r="AA1174">
        <v>0</v>
      </c>
      <c r="AB1174" t="s">
        <v>142</v>
      </c>
      <c r="AC1174" t="s">
        <v>41</v>
      </c>
      <c r="AD1174" t="s">
        <v>40</v>
      </c>
      <c r="AE1174" t="str">
        <f t="shared" si="346"/>
        <v>02</v>
      </c>
      <c r="AF1174" t="s">
        <v>40</v>
      </c>
    </row>
    <row r="1175" spans="1:32" x14ac:dyDescent="0.25">
      <c r="A1175">
        <v>5</v>
      </c>
      <c r="B1175">
        <v>420</v>
      </c>
      <c r="C1175" t="str">
        <f t="shared" si="350"/>
        <v>11</v>
      </c>
      <c r="D1175">
        <v>6399</v>
      </c>
      <c r="E1175" t="str">
        <f t="shared" si="343"/>
        <v>00</v>
      </c>
      <c r="F1175" t="str">
        <f>"001"</f>
        <v>001</v>
      </c>
      <c r="G1175">
        <v>5</v>
      </c>
      <c r="H1175" t="str">
        <f t="shared" si="353"/>
        <v>11</v>
      </c>
      <c r="I1175" t="str">
        <f t="shared" si="347"/>
        <v>0</v>
      </c>
      <c r="J1175" t="str">
        <f t="shared" si="341"/>
        <v>00</v>
      </c>
      <c r="K1175">
        <v>20150226</v>
      </c>
      <c r="L1175" t="str">
        <f t="shared" si="351"/>
        <v>014817</v>
      </c>
      <c r="M1175" t="str">
        <f t="shared" si="352"/>
        <v>00015</v>
      </c>
      <c r="N1175" t="s">
        <v>44</v>
      </c>
      <c r="O1175">
        <v>655.4</v>
      </c>
      <c r="Q1175" t="s">
        <v>33</v>
      </c>
      <c r="R1175" t="s">
        <v>34</v>
      </c>
      <c r="S1175" t="s">
        <v>35</v>
      </c>
      <c r="T1175" t="s">
        <v>35</v>
      </c>
      <c r="U1175" t="s">
        <v>34</v>
      </c>
      <c r="V1175" t="str">
        <f>""</f>
        <v/>
      </c>
      <c r="W1175">
        <v>20150225</v>
      </c>
      <c r="X1175" t="s">
        <v>239</v>
      </c>
      <c r="Y1175" t="s">
        <v>737</v>
      </c>
      <c r="Z1175" t="s">
        <v>737</v>
      </c>
      <c r="AA1175">
        <v>0</v>
      </c>
      <c r="AB1175" t="s">
        <v>142</v>
      </c>
      <c r="AC1175" t="s">
        <v>41</v>
      </c>
      <c r="AD1175" t="s">
        <v>40</v>
      </c>
      <c r="AE1175" t="str">
        <f t="shared" si="346"/>
        <v>02</v>
      </c>
      <c r="AF1175" t="s">
        <v>40</v>
      </c>
    </row>
    <row r="1176" spans="1:32" x14ac:dyDescent="0.25">
      <c r="A1176">
        <v>5</v>
      </c>
      <c r="B1176">
        <v>420</v>
      </c>
      <c r="C1176" t="str">
        <f t="shared" si="350"/>
        <v>11</v>
      </c>
      <c r="D1176">
        <v>6399</v>
      </c>
      <c r="E1176" t="str">
        <f t="shared" si="343"/>
        <v>00</v>
      </c>
      <c r="F1176" t="str">
        <f>"041"</f>
        <v>041</v>
      </c>
      <c r="G1176">
        <v>5</v>
      </c>
      <c r="H1176" t="str">
        <f t="shared" si="353"/>
        <v>11</v>
      </c>
      <c r="I1176" t="str">
        <f t="shared" si="347"/>
        <v>0</v>
      </c>
      <c r="J1176" t="str">
        <f t="shared" si="341"/>
        <v>00</v>
      </c>
      <c r="K1176">
        <v>20150226</v>
      </c>
      <c r="L1176" t="str">
        <f t="shared" si="351"/>
        <v>014817</v>
      </c>
      <c r="M1176" t="str">
        <f t="shared" si="352"/>
        <v>00015</v>
      </c>
      <c r="N1176" t="s">
        <v>44</v>
      </c>
      <c r="O1176">
        <v>129.9</v>
      </c>
      <c r="Q1176" t="s">
        <v>33</v>
      </c>
      <c r="R1176" t="s">
        <v>34</v>
      </c>
      <c r="S1176" t="s">
        <v>35</v>
      </c>
      <c r="T1176" t="s">
        <v>35</v>
      </c>
      <c r="U1176" t="s">
        <v>34</v>
      </c>
      <c r="V1176" t="str">
        <f>""</f>
        <v/>
      </c>
      <c r="W1176">
        <v>20150225</v>
      </c>
      <c r="X1176" t="s">
        <v>241</v>
      </c>
      <c r="Y1176" t="s">
        <v>738</v>
      </c>
      <c r="Z1176" t="s">
        <v>738</v>
      </c>
      <c r="AA1176">
        <v>0</v>
      </c>
      <c r="AB1176" t="s">
        <v>142</v>
      </c>
      <c r="AC1176" t="s">
        <v>41</v>
      </c>
      <c r="AD1176" t="s">
        <v>40</v>
      </c>
      <c r="AE1176" t="str">
        <f t="shared" si="346"/>
        <v>02</v>
      </c>
      <c r="AF1176" t="s">
        <v>40</v>
      </c>
    </row>
    <row r="1177" spans="1:32" x14ac:dyDescent="0.25">
      <c r="A1177">
        <v>5</v>
      </c>
      <c r="B1177">
        <v>420</v>
      </c>
      <c r="C1177" t="str">
        <f t="shared" si="350"/>
        <v>11</v>
      </c>
      <c r="D1177">
        <v>6399</v>
      </c>
      <c r="E1177" t="str">
        <f t="shared" si="343"/>
        <v>00</v>
      </c>
      <c r="F1177" t="str">
        <f>"101"</f>
        <v>101</v>
      </c>
      <c r="G1177">
        <v>5</v>
      </c>
      <c r="H1177" t="str">
        <f t="shared" si="353"/>
        <v>11</v>
      </c>
      <c r="I1177" t="str">
        <f t="shared" si="347"/>
        <v>0</v>
      </c>
      <c r="J1177" t="str">
        <f t="shared" si="341"/>
        <v>00</v>
      </c>
      <c r="K1177">
        <v>20150226</v>
      </c>
      <c r="L1177" t="str">
        <f t="shared" si="351"/>
        <v>014817</v>
      </c>
      <c r="M1177" t="str">
        <f t="shared" si="352"/>
        <v>00015</v>
      </c>
      <c r="N1177" t="s">
        <v>44</v>
      </c>
      <c r="O1177">
        <v>159.99</v>
      </c>
      <c r="Q1177" t="s">
        <v>33</v>
      </c>
      <c r="R1177" t="s">
        <v>34</v>
      </c>
      <c r="S1177" t="s">
        <v>35</v>
      </c>
      <c r="T1177" t="s">
        <v>35</v>
      </c>
      <c r="U1177" t="s">
        <v>34</v>
      </c>
      <c r="V1177" t="str">
        <f>""</f>
        <v/>
      </c>
      <c r="W1177">
        <v>20150225</v>
      </c>
      <c r="X1177" t="s">
        <v>246</v>
      </c>
      <c r="Y1177" t="s">
        <v>738</v>
      </c>
      <c r="Z1177" t="s">
        <v>738</v>
      </c>
      <c r="AA1177">
        <v>0</v>
      </c>
      <c r="AB1177" t="s">
        <v>142</v>
      </c>
      <c r="AC1177" t="s">
        <v>41</v>
      </c>
      <c r="AD1177" t="s">
        <v>40</v>
      </c>
      <c r="AE1177" t="str">
        <f t="shared" si="346"/>
        <v>02</v>
      </c>
      <c r="AF1177" t="s">
        <v>40</v>
      </c>
    </row>
    <row r="1178" spans="1:32" x14ac:dyDescent="0.25">
      <c r="A1178">
        <v>5</v>
      </c>
      <c r="B1178">
        <v>420</v>
      </c>
      <c r="C1178" t="str">
        <f t="shared" si="350"/>
        <v>11</v>
      </c>
      <c r="D1178">
        <v>6399</v>
      </c>
      <c r="E1178" t="str">
        <f t="shared" si="343"/>
        <v>00</v>
      </c>
      <c r="F1178" t="str">
        <f>"999"</f>
        <v>999</v>
      </c>
      <c r="G1178">
        <v>5</v>
      </c>
      <c r="H1178" t="str">
        <f t="shared" si="353"/>
        <v>11</v>
      </c>
      <c r="I1178" t="str">
        <f t="shared" si="347"/>
        <v>0</v>
      </c>
      <c r="J1178" t="str">
        <f t="shared" si="341"/>
        <v>00</v>
      </c>
      <c r="K1178">
        <v>20150226</v>
      </c>
      <c r="L1178" t="str">
        <f t="shared" si="351"/>
        <v>014817</v>
      </c>
      <c r="M1178" t="str">
        <f t="shared" si="352"/>
        <v>00015</v>
      </c>
      <c r="N1178" t="s">
        <v>44</v>
      </c>
      <c r="O1178">
        <v>29.2</v>
      </c>
      <c r="Q1178" t="s">
        <v>33</v>
      </c>
      <c r="R1178" t="s">
        <v>34</v>
      </c>
      <c r="S1178" t="s">
        <v>35</v>
      </c>
      <c r="T1178" t="s">
        <v>35</v>
      </c>
      <c r="U1178" t="s">
        <v>34</v>
      </c>
      <c r="V1178" t="str">
        <f>""</f>
        <v/>
      </c>
      <c r="W1178">
        <v>20150225</v>
      </c>
      <c r="X1178" t="s">
        <v>385</v>
      </c>
      <c r="Y1178" t="s">
        <v>739</v>
      </c>
      <c r="Z1178" t="s">
        <v>739</v>
      </c>
      <c r="AA1178">
        <v>0</v>
      </c>
      <c r="AB1178" t="s">
        <v>142</v>
      </c>
      <c r="AC1178" t="s">
        <v>143</v>
      </c>
      <c r="AD1178" t="s">
        <v>40</v>
      </c>
      <c r="AE1178" t="str">
        <f t="shared" si="346"/>
        <v>02</v>
      </c>
      <c r="AF1178" t="s">
        <v>40</v>
      </c>
    </row>
    <row r="1179" spans="1:32" x14ac:dyDescent="0.25">
      <c r="A1179">
        <v>5</v>
      </c>
      <c r="B1179">
        <v>420</v>
      </c>
      <c r="C1179" t="str">
        <f>"36"</f>
        <v>36</v>
      </c>
      <c r="D1179">
        <v>6399</v>
      </c>
      <c r="E1179" t="str">
        <f t="shared" si="343"/>
        <v>00</v>
      </c>
      <c r="F1179" t="str">
        <f>"001"</f>
        <v>001</v>
      </c>
      <c r="G1179">
        <v>5</v>
      </c>
      <c r="H1179" t="str">
        <f>"91"</f>
        <v>91</v>
      </c>
      <c r="I1179" t="str">
        <f t="shared" si="347"/>
        <v>0</v>
      </c>
      <c r="J1179" t="str">
        <f t="shared" si="341"/>
        <v>00</v>
      </c>
      <c r="K1179">
        <v>20150226</v>
      </c>
      <c r="L1179" t="str">
        <f t="shared" si="351"/>
        <v>014817</v>
      </c>
      <c r="M1179" t="str">
        <f t="shared" si="352"/>
        <v>00015</v>
      </c>
      <c r="N1179" t="s">
        <v>44</v>
      </c>
      <c r="O1179" s="1">
        <v>1189.94</v>
      </c>
      <c r="Q1179" t="s">
        <v>33</v>
      </c>
      <c r="R1179" t="s">
        <v>34</v>
      </c>
      <c r="S1179" t="s">
        <v>35</v>
      </c>
      <c r="T1179" t="s">
        <v>35</v>
      </c>
      <c r="U1179" t="s">
        <v>34</v>
      </c>
      <c r="V1179" t="str">
        <f>""</f>
        <v/>
      </c>
      <c r="W1179">
        <v>20150226</v>
      </c>
      <c r="X1179" t="s">
        <v>599</v>
      </c>
      <c r="Y1179" t="s">
        <v>600</v>
      </c>
      <c r="Z1179" t="s">
        <v>600</v>
      </c>
      <c r="AA1179">
        <v>0</v>
      </c>
      <c r="AB1179" t="s">
        <v>142</v>
      </c>
      <c r="AC1179" t="s">
        <v>41</v>
      </c>
      <c r="AD1179" t="s">
        <v>40</v>
      </c>
      <c r="AE1179" t="str">
        <f t="shared" si="346"/>
        <v>02</v>
      </c>
      <c r="AF1179" t="s">
        <v>40</v>
      </c>
    </row>
    <row r="1180" spans="1:32" x14ac:dyDescent="0.25">
      <c r="A1180">
        <v>5</v>
      </c>
      <c r="B1180">
        <v>420</v>
      </c>
      <c r="C1180" t="str">
        <f t="shared" ref="C1180:C1186" si="354">"51"</f>
        <v>51</v>
      </c>
      <c r="D1180">
        <v>6269</v>
      </c>
      <c r="E1180" t="str">
        <f t="shared" si="343"/>
        <v>00</v>
      </c>
      <c r="F1180" t="str">
        <f t="shared" ref="F1180:F1187" si="355">"999"</f>
        <v>999</v>
      </c>
      <c r="G1180">
        <v>5</v>
      </c>
      <c r="H1180" t="str">
        <f t="shared" ref="H1180:H1187" si="356">"99"</f>
        <v>99</v>
      </c>
      <c r="I1180" t="str">
        <f t="shared" si="347"/>
        <v>0</v>
      </c>
      <c r="J1180" t="str">
        <f t="shared" si="341"/>
        <v>00</v>
      </c>
      <c r="K1180">
        <v>20150226</v>
      </c>
      <c r="L1180" t="str">
        <f t="shared" si="351"/>
        <v>014817</v>
      </c>
      <c r="M1180" t="str">
        <f t="shared" si="352"/>
        <v>00015</v>
      </c>
      <c r="N1180" t="s">
        <v>44</v>
      </c>
      <c r="O1180">
        <v>99</v>
      </c>
      <c r="Q1180" t="s">
        <v>33</v>
      </c>
      <c r="R1180" t="s">
        <v>34</v>
      </c>
      <c r="S1180" t="s">
        <v>35</v>
      </c>
      <c r="T1180" t="s">
        <v>35</v>
      </c>
      <c r="U1180" t="s">
        <v>34</v>
      </c>
      <c r="V1180" t="str">
        <f>""</f>
        <v/>
      </c>
      <c r="W1180">
        <v>20150225</v>
      </c>
      <c r="X1180" t="s">
        <v>225</v>
      </c>
      <c r="Y1180" t="s">
        <v>306</v>
      </c>
      <c r="Z1180" t="s">
        <v>306</v>
      </c>
      <c r="AA1180">
        <v>0</v>
      </c>
      <c r="AB1180" t="s">
        <v>142</v>
      </c>
      <c r="AC1180" t="s">
        <v>143</v>
      </c>
      <c r="AD1180" t="s">
        <v>40</v>
      </c>
      <c r="AE1180" t="str">
        <f t="shared" si="346"/>
        <v>02</v>
      </c>
      <c r="AF1180" t="s">
        <v>40</v>
      </c>
    </row>
    <row r="1181" spans="1:32" x14ac:dyDescent="0.25">
      <c r="A1181">
        <v>5</v>
      </c>
      <c r="B1181">
        <v>420</v>
      </c>
      <c r="C1181" t="str">
        <f t="shared" si="354"/>
        <v>51</v>
      </c>
      <c r="D1181">
        <v>6319</v>
      </c>
      <c r="E1181" t="str">
        <f t="shared" si="343"/>
        <v>00</v>
      </c>
      <c r="F1181" t="str">
        <f t="shared" si="355"/>
        <v>999</v>
      </c>
      <c r="G1181">
        <v>5</v>
      </c>
      <c r="H1181" t="str">
        <f t="shared" si="356"/>
        <v>99</v>
      </c>
      <c r="I1181" t="str">
        <f t="shared" si="347"/>
        <v>0</v>
      </c>
      <c r="J1181" t="str">
        <f t="shared" si="341"/>
        <v>00</v>
      </c>
      <c r="K1181">
        <v>20150226</v>
      </c>
      <c r="L1181" t="str">
        <f t="shared" si="351"/>
        <v>014817</v>
      </c>
      <c r="M1181" t="str">
        <f t="shared" si="352"/>
        <v>00015</v>
      </c>
      <c r="N1181" t="s">
        <v>44</v>
      </c>
      <c r="O1181">
        <v>150</v>
      </c>
      <c r="Q1181" t="s">
        <v>33</v>
      </c>
      <c r="R1181" t="s">
        <v>34</v>
      </c>
      <c r="S1181" t="s">
        <v>35</v>
      </c>
      <c r="T1181" t="s">
        <v>35</v>
      </c>
      <c r="U1181" t="s">
        <v>34</v>
      </c>
      <c r="V1181" t="str">
        <f>""</f>
        <v/>
      </c>
      <c r="W1181">
        <v>20150225</v>
      </c>
      <c r="X1181" t="s">
        <v>185</v>
      </c>
      <c r="Y1181" t="s">
        <v>740</v>
      </c>
      <c r="Z1181" t="s">
        <v>740</v>
      </c>
      <c r="AA1181">
        <v>0</v>
      </c>
      <c r="AB1181" t="s">
        <v>142</v>
      </c>
      <c r="AC1181" t="s">
        <v>143</v>
      </c>
      <c r="AD1181" t="s">
        <v>40</v>
      </c>
      <c r="AE1181" t="str">
        <f t="shared" si="346"/>
        <v>02</v>
      </c>
      <c r="AF1181" t="s">
        <v>40</v>
      </c>
    </row>
    <row r="1182" spans="1:32" x14ac:dyDescent="0.25">
      <c r="A1182">
        <v>5</v>
      </c>
      <c r="B1182">
        <v>420</v>
      </c>
      <c r="C1182" t="str">
        <f t="shared" si="354"/>
        <v>51</v>
      </c>
      <c r="D1182">
        <v>6319</v>
      </c>
      <c r="E1182" t="str">
        <f t="shared" si="343"/>
        <v>00</v>
      </c>
      <c r="F1182" t="str">
        <f t="shared" si="355"/>
        <v>999</v>
      </c>
      <c r="G1182">
        <v>5</v>
      </c>
      <c r="H1182" t="str">
        <f t="shared" si="356"/>
        <v>99</v>
      </c>
      <c r="I1182" t="str">
        <f t="shared" si="347"/>
        <v>0</v>
      </c>
      <c r="J1182" t="str">
        <f t="shared" si="341"/>
        <v>00</v>
      </c>
      <c r="K1182">
        <v>20150226</v>
      </c>
      <c r="L1182" t="str">
        <f t="shared" si="351"/>
        <v>014817</v>
      </c>
      <c r="M1182" t="str">
        <f t="shared" si="352"/>
        <v>00015</v>
      </c>
      <c r="N1182" t="s">
        <v>44</v>
      </c>
      <c r="O1182">
        <v>117.38</v>
      </c>
      <c r="Q1182" t="s">
        <v>33</v>
      </c>
      <c r="R1182" t="s">
        <v>34</v>
      </c>
      <c r="S1182" t="s">
        <v>35</v>
      </c>
      <c r="T1182" t="s">
        <v>35</v>
      </c>
      <c r="U1182" t="s">
        <v>34</v>
      </c>
      <c r="V1182" t="str">
        <f>""</f>
        <v/>
      </c>
      <c r="W1182">
        <v>20150225</v>
      </c>
      <c r="X1182" t="s">
        <v>185</v>
      </c>
      <c r="Y1182" t="s">
        <v>741</v>
      </c>
      <c r="Z1182" t="s">
        <v>741</v>
      </c>
      <c r="AA1182">
        <v>0</v>
      </c>
      <c r="AB1182" t="s">
        <v>142</v>
      </c>
      <c r="AC1182" t="s">
        <v>143</v>
      </c>
      <c r="AD1182" t="s">
        <v>40</v>
      </c>
      <c r="AE1182" t="str">
        <f t="shared" si="346"/>
        <v>02</v>
      </c>
      <c r="AF1182" t="s">
        <v>40</v>
      </c>
    </row>
    <row r="1183" spans="1:32" x14ac:dyDescent="0.25">
      <c r="A1183">
        <v>5</v>
      </c>
      <c r="B1183">
        <v>420</v>
      </c>
      <c r="C1183" t="str">
        <f t="shared" si="354"/>
        <v>51</v>
      </c>
      <c r="D1183">
        <v>6499</v>
      </c>
      <c r="E1183" t="str">
        <f t="shared" si="343"/>
        <v>00</v>
      </c>
      <c r="F1183" t="str">
        <f t="shared" si="355"/>
        <v>999</v>
      </c>
      <c r="G1183">
        <v>5</v>
      </c>
      <c r="H1183" t="str">
        <f t="shared" si="356"/>
        <v>99</v>
      </c>
      <c r="I1183" t="str">
        <f t="shared" si="347"/>
        <v>0</v>
      </c>
      <c r="J1183" t="str">
        <f t="shared" si="341"/>
        <v>00</v>
      </c>
      <c r="K1183">
        <v>20150226</v>
      </c>
      <c r="L1183" t="str">
        <f t="shared" si="351"/>
        <v>014817</v>
      </c>
      <c r="M1183" t="str">
        <f t="shared" si="352"/>
        <v>00015</v>
      </c>
      <c r="N1183" t="s">
        <v>44</v>
      </c>
      <c r="O1183">
        <v>0.73</v>
      </c>
      <c r="Q1183" t="s">
        <v>33</v>
      </c>
      <c r="R1183" t="s">
        <v>34</v>
      </c>
      <c r="S1183" t="s">
        <v>35</v>
      </c>
      <c r="T1183" t="s">
        <v>35</v>
      </c>
      <c r="U1183" t="s">
        <v>34</v>
      </c>
      <c r="V1183" t="str">
        <f>""</f>
        <v/>
      </c>
      <c r="W1183">
        <v>20150225</v>
      </c>
      <c r="X1183" t="s">
        <v>356</v>
      </c>
      <c r="Y1183" t="s">
        <v>742</v>
      </c>
      <c r="Z1183" t="s">
        <v>742</v>
      </c>
      <c r="AA1183">
        <v>0</v>
      </c>
      <c r="AB1183" t="s">
        <v>142</v>
      </c>
      <c r="AC1183" t="s">
        <v>143</v>
      </c>
      <c r="AD1183" t="s">
        <v>40</v>
      </c>
      <c r="AE1183" t="str">
        <f t="shared" si="346"/>
        <v>02</v>
      </c>
      <c r="AF1183" t="s">
        <v>40</v>
      </c>
    </row>
    <row r="1184" spans="1:32" x14ac:dyDescent="0.25">
      <c r="A1184">
        <v>5</v>
      </c>
      <c r="B1184">
        <v>420</v>
      </c>
      <c r="C1184" t="str">
        <f t="shared" si="354"/>
        <v>51</v>
      </c>
      <c r="D1184">
        <v>6499</v>
      </c>
      <c r="E1184" t="str">
        <f t="shared" si="343"/>
        <v>00</v>
      </c>
      <c r="F1184" t="str">
        <f t="shared" si="355"/>
        <v>999</v>
      </c>
      <c r="G1184">
        <v>5</v>
      </c>
      <c r="H1184" t="str">
        <f t="shared" si="356"/>
        <v>99</v>
      </c>
      <c r="I1184" t="str">
        <f t="shared" si="347"/>
        <v>0</v>
      </c>
      <c r="J1184" t="str">
        <f t="shared" si="341"/>
        <v>00</v>
      </c>
      <c r="K1184">
        <v>20150226</v>
      </c>
      <c r="L1184" t="str">
        <f t="shared" si="351"/>
        <v>014817</v>
      </c>
      <c r="M1184" t="str">
        <f t="shared" si="352"/>
        <v>00015</v>
      </c>
      <c r="N1184" t="s">
        <v>44</v>
      </c>
      <c r="O1184">
        <v>18</v>
      </c>
      <c r="Q1184" t="s">
        <v>33</v>
      </c>
      <c r="R1184" t="s">
        <v>34</v>
      </c>
      <c r="S1184" t="s">
        <v>35</v>
      </c>
      <c r="T1184" t="s">
        <v>35</v>
      </c>
      <c r="U1184" t="s">
        <v>34</v>
      </c>
      <c r="V1184" t="str">
        <f>""</f>
        <v/>
      </c>
      <c r="W1184">
        <v>20150225</v>
      </c>
      <c r="X1184" t="s">
        <v>356</v>
      </c>
      <c r="Y1184" t="s">
        <v>742</v>
      </c>
      <c r="Z1184" t="s">
        <v>742</v>
      </c>
      <c r="AA1184">
        <v>0</v>
      </c>
      <c r="AB1184" t="s">
        <v>142</v>
      </c>
      <c r="AC1184" t="s">
        <v>143</v>
      </c>
      <c r="AD1184" t="s">
        <v>40</v>
      </c>
      <c r="AE1184" t="str">
        <f t="shared" ref="AE1184:AE1209" si="357">"02"</f>
        <v>02</v>
      </c>
      <c r="AF1184" t="s">
        <v>40</v>
      </c>
    </row>
    <row r="1185" spans="1:32" x14ac:dyDescent="0.25">
      <c r="A1185">
        <v>5</v>
      </c>
      <c r="B1185">
        <v>420</v>
      </c>
      <c r="C1185" t="str">
        <f t="shared" si="354"/>
        <v>51</v>
      </c>
      <c r="D1185">
        <v>6499</v>
      </c>
      <c r="E1185" t="str">
        <f t="shared" si="343"/>
        <v>00</v>
      </c>
      <c r="F1185" t="str">
        <f t="shared" si="355"/>
        <v>999</v>
      </c>
      <c r="G1185">
        <v>5</v>
      </c>
      <c r="H1185" t="str">
        <f t="shared" si="356"/>
        <v>99</v>
      </c>
      <c r="I1185" t="str">
        <f t="shared" si="347"/>
        <v>0</v>
      </c>
      <c r="J1185" t="str">
        <f t="shared" si="341"/>
        <v>00</v>
      </c>
      <c r="K1185">
        <v>20150226</v>
      </c>
      <c r="L1185" t="str">
        <f t="shared" si="351"/>
        <v>014817</v>
      </c>
      <c r="M1185" t="str">
        <f t="shared" si="352"/>
        <v>00015</v>
      </c>
      <c r="N1185" t="s">
        <v>44</v>
      </c>
      <c r="O1185">
        <v>67.5</v>
      </c>
      <c r="Q1185" t="s">
        <v>33</v>
      </c>
      <c r="R1185" t="s">
        <v>34</v>
      </c>
      <c r="S1185" t="s">
        <v>35</v>
      </c>
      <c r="T1185" t="s">
        <v>35</v>
      </c>
      <c r="U1185" t="s">
        <v>34</v>
      </c>
      <c r="V1185" t="str">
        <f>""</f>
        <v/>
      </c>
      <c r="W1185">
        <v>20150225</v>
      </c>
      <c r="X1185" t="s">
        <v>356</v>
      </c>
      <c r="Y1185" t="s">
        <v>742</v>
      </c>
      <c r="Z1185" t="s">
        <v>742</v>
      </c>
      <c r="AA1185">
        <v>0</v>
      </c>
      <c r="AB1185" t="s">
        <v>142</v>
      </c>
      <c r="AC1185" t="s">
        <v>143</v>
      </c>
      <c r="AD1185" t="s">
        <v>40</v>
      </c>
      <c r="AE1185" t="str">
        <f t="shared" si="357"/>
        <v>02</v>
      </c>
      <c r="AF1185" t="s">
        <v>40</v>
      </c>
    </row>
    <row r="1186" spans="1:32" x14ac:dyDescent="0.25">
      <c r="A1186">
        <v>5</v>
      </c>
      <c r="B1186">
        <v>420</v>
      </c>
      <c r="C1186" t="str">
        <f t="shared" si="354"/>
        <v>51</v>
      </c>
      <c r="D1186">
        <v>6499</v>
      </c>
      <c r="E1186" t="str">
        <f t="shared" si="343"/>
        <v>00</v>
      </c>
      <c r="F1186" t="str">
        <f t="shared" si="355"/>
        <v>999</v>
      </c>
      <c r="G1186">
        <v>5</v>
      </c>
      <c r="H1186" t="str">
        <f t="shared" si="356"/>
        <v>99</v>
      </c>
      <c r="I1186" t="str">
        <f t="shared" si="347"/>
        <v>0</v>
      </c>
      <c r="J1186" t="str">
        <f t="shared" si="341"/>
        <v>00</v>
      </c>
      <c r="K1186">
        <v>20150226</v>
      </c>
      <c r="L1186" t="str">
        <f t="shared" si="351"/>
        <v>014817</v>
      </c>
      <c r="M1186" t="str">
        <f t="shared" si="352"/>
        <v>00015</v>
      </c>
      <c r="N1186" t="s">
        <v>44</v>
      </c>
      <c r="O1186">
        <v>350</v>
      </c>
      <c r="Q1186" t="s">
        <v>33</v>
      </c>
      <c r="R1186" t="s">
        <v>34</v>
      </c>
      <c r="S1186" t="s">
        <v>35</v>
      </c>
      <c r="T1186" t="s">
        <v>35</v>
      </c>
      <c r="U1186" t="s">
        <v>34</v>
      </c>
      <c r="V1186" t="str">
        <f>""</f>
        <v/>
      </c>
      <c r="W1186">
        <v>20150225</v>
      </c>
      <c r="X1186" t="s">
        <v>356</v>
      </c>
      <c r="Y1186" t="s">
        <v>649</v>
      </c>
      <c r="Z1186" t="s">
        <v>649</v>
      </c>
      <c r="AA1186">
        <v>0</v>
      </c>
      <c r="AB1186" t="s">
        <v>142</v>
      </c>
      <c r="AC1186" t="s">
        <v>143</v>
      </c>
      <c r="AD1186" t="s">
        <v>40</v>
      </c>
      <c r="AE1186" t="str">
        <f t="shared" si="357"/>
        <v>02</v>
      </c>
      <c r="AF1186" t="s">
        <v>40</v>
      </c>
    </row>
    <row r="1187" spans="1:32" x14ac:dyDescent="0.25">
      <c r="A1187">
        <v>5</v>
      </c>
      <c r="B1187">
        <v>420</v>
      </c>
      <c r="C1187" t="str">
        <f>"52"</f>
        <v>52</v>
      </c>
      <c r="D1187">
        <v>6219</v>
      </c>
      <c r="E1187" t="str">
        <f t="shared" si="343"/>
        <v>00</v>
      </c>
      <c r="F1187" t="str">
        <f t="shared" si="355"/>
        <v>999</v>
      </c>
      <c r="G1187">
        <v>5</v>
      </c>
      <c r="H1187" t="str">
        <f t="shared" si="356"/>
        <v>99</v>
      </c>
      <c r="I1187" t="str">
        <f t="shared" si="347"/>
        <v>0</v>
      </c>
      <c r="J1187" t="str">
        <f t="shared" si="341"/>
        <v>00</v>
      </c>
      <c r="K1187">
        <v>20150226</v>
      </c>
      <c r="L1187" t="str">
        <f t="shared" si="351"/>
        <v>014817</v>
      </c>
      <c r="M1187" t="str">
        <f t="shared" si="352"/>
        <v>00015</v>
      </c>
      <c r="N1187" t="s">
        <v>44</v>
      </c>
      <c r="O1187">
        <v>40</v>
      </c>
      <c r="Q1187" t="s">
        <v>33</v>
      </c>
      <c r="R1187" t="s">
        <v>34</v>
      </c>
      <c r="S1187" t="s">
        <v>35</v>
      </c>
      <c r="T1187" t="s">
        <v>35</v>
      </c>
      <c r="U1187" t="s">
        <v>34</v>
      </c>
      <c r="V1187" t="str">
        <f>""</f>
        <v/>
      </c>
      <c r="W1187">
        <v>20150225</v>
      </c>
      <c r="X1187" t="s">
        <v>208</v>
      </c>
      <c r="Y1187" t="s">
        <v>743</v>
      </c>
      <c r="Z1187" t="s">
        <v>743</v>
      </c>
      <c r="AA1187">
        <v>0</v>
      </c>
      <c r="AB1187" t="s">
        <v>142</v>
      </c>
      <c r="AC1187" t="s">
        <v>143</v>
      </c>
      <c r="AD1187" t="s">
        <v>40</v>
      </c>
      <c r="AE1187" t="str">
        <f t="shared" si="357"/>
        <v>02</v>
      </c>
      <c r="AF1187" t="s">
        <v>40</v>
      </c>
    </row>
    <row r="1188" spans="1:32" x14ac:dyDescent="0.25">
      <c r="A1188">
        <v>5</v>
      </c>
      <c r="B1188">
        <v>211</v>
      </c>
      <c r="C1188" t="str">
        <f>"11"</f>
        <v>11</v>
      </c>
      <c r="D1188">
        <v>6219</v>
      </c>
      <c r="E1188" t="str">
        <f t="shared" si="343"/>
        <v>00</v>
      </c>
      <c r="F1188" t="str">
        <f>"101"</f>
        <v>101</v>
      </c>
      <c r="G1188">
        <v>5</v>
      </c>
      <c r="H1188" t="str">
        <f>"30"</f>
        <v>30</v>
      </c>
      <c r="I1188" t="str">
        <f t="shared" si="347"/>
        <v>0</v>
      </c>
      <c r="J1188" t="str">
        <f t="shared" si="341"/>
        <v>00</v>
      </c>
      <c r="K1188">
        <v>20150226</v>
      </c>
      <c r="L1188" t="str">
        <f>"014818"</f>
        <v>014818</v>
      </c>
      <c r="M1188" t="str">
        <f>"00803"</f>
        <v>00803</v>
      </c>
      <c r="N1188" t="s">
        <v>744</v>
      </c>
      <c r="O1188">
        <v>268.5</v>
      </c>
      <c r="Q1188" t="s">
        <v>33</v>
      </c>
      <c r="R1188" t="s">
        <v>34</v>
      </c>
      <c r="S1188" t="s">
        <v>35</v>
      </c>
      <c r="T1188" t="s">
        <v>35</v>
      </c>
      <c r="U1188" t="s">
        <v>34</v>
      </c>
      <c r="V1188" t="str">
        <f>""</f>
        <v/>
      </c>
      <c r="W1188">
        <v>20150226</v>
      </c>
      <c r="X1188" t="s">
        <v>181</v>
      </c>
      <c r="Y1188" t="s">
        <v>604</v>
      </c>
      <c r="Z1188" t="s">
        <v>604</v>
      </c>
      <c r="AA1188">
        <v>0</v>
      </c>
      <c r="AB1188" t="s">
        <v>174</v>
      </c>
      <c r="AC1188" t="s">
        <v>41</v>
      </c>
      <c r="AD1188" t="s">
        <v>40</v>
      </c>
      <c r="AE1188" t="str">
        <f t="shared" si="357"/>
        <v>02</v>
      </c>
      <c r="AF1188" t="s">
        <v>40</v>
      </c>
    </row>
    <row r="1189" spans="1:32" x14ac:dyDescent="0.25">
      <c r="A1189">
        <v>5</v>
      </c>
      <c r="B1189">
        <v>420</v>
      </c>
      <c r="C1189" t="str">
        <f>"51"</f>
        <v>51</v>
      </c>
      <c r="D1189">
        <v>6219</v>
      </c>
      <c r="E1189" t="str">
        <f t="shared" si="343"/>
        <v>00</v>
      </c>
      <c r="F1189" t="str">
        <f t="shared" ref="F1189:F1199" si="358">"999"</f>
        <v>999</v>
      </c>
      <c r="G1189">
        <v>5</v>
      </c>
      <c r="H1189" t="str">
        <f>"99"</f>
        <v>99</v>
      </c>
      <c r="I1189" t="str">
        <f t="shared" si="347"/>
        <v>0</v>
      </c>
      <c r="J1189" t="str">
        <f t="shared" si="341"/>
        <v>00</v>
      </c>
      <c r="K1189">
        <v>20150226</v>
      </c>
      <c r="L1189" t="str">
        <f>"014819"</f>
        <v>014819</v>
      </c>
      <c r="M1189" t="str">
        <f>"00829"</f>
        <v>00829</v>
      </c>
      <c r="N1189" t="s">
        <v>707</v>
      </c>
      <c r="O1189">
        <v>75</v>
      </c>
      <c r="Q1189" t="s">
        <v>33</v>
      </c>
      <c r="R1189" t="s">
        <v>34</v>
      </c>
      <c r="S1189" t="s">
        <v>35</v>
      </c>
      <c r="T1189" t="s">
        <v>35</v>
      </c>
      <c r="U1189" t="s">
        <v>34</v>
      </c>
      <c r="V1189" t="str">
        <f>""</f>
        <v/>
      </c>
      <c r="W1189">
        <v>20150225</v>
      </c>
      <c r="X1189" t="s">
        <v>183</v>
      </c>
      <c r="Y1189" t="s">
        <v>708</v>
      </c>
      <c r="Z1189" t="s">
        <v>708</v>
      </c>
      <c r="AA1189">
        <v>0</v>
      </c>
      <c r="AB1189" t="s">
        <v>142</v>
      </c>
      <c r="AC1189" t="s">
        <v>143</v>
      </c>
      <c r="AD1189" t="s">
        <v>40</v>
      </c>
      <c r="AE1189" t="str">
        <f t="shared" si="357"/>
        <v>02</v>
      </c>
      <c r="AF1189" t="s">
        <v>40</v>
      </c>
    </row>
    <row r="1190" spans="1:32" x14ac:dyDescent="0.25">
      <c r="A1190">
        <v>5</v>
      </c>
      <c r="B1190">
        <v>420</v>
      </c>
      <c r="C1190" t="str">
        <f>"51"</f>
        <v>51</v>
      </c>
      <c r="D1190">
        <v>6319</v>
      </c>
      <c r="E1190" t="str">
        <f t="shared" si="343"/>
        <v>00</v>
      </c>
      <c r="F1190" t="str">
        <f t="shared" si="358"/>
        <v>999</v>
      </c>
      <c r="G1190">
        <v>5</v>
      </c>
      <c r="H1190" t="str">
        <f>"99"</f>
        <v>99</v>
      </c>
      <c r="I1190" t="str">
        <f t="shared" si="347"/>
        <v>0</v>
      </c>
      <c r="J1190" t="str">
        <f t="shared" si="341"/>
        <v>00</v>
      </c>
      <c r="K1190">
        <v>20150226</v>
      </c>
      <c r="L1190" t="str">
        <f>"014819"</f>
        <v>014819</v>
      </c>
      <c r="M1190" t="str">
        <f>"00829"</f>
        <v>00829</v>
      </c>
      <c r="N1190" t="s">
        <v>707</v>
      </c>
      <c r="O1190">
        <v>645</v>
      </c>
      <c r="Q1190" t="s">
        <v>33</v>
      </c>
      <c r="R1190" t="s">
        <v>34</v>
      </c>
      <c r="S1190" t="s">
        <v>35</v>
      </c>
      <c r="T1190" t="s">
        <v>35</v>
      </c>
      <c r="U1190" t="s">
        <v>34</v>
      </c>
      <c r="V1190" t="str">
        <f>""</f>
        <v/>
      </c>
      <c r="W1190">
        <v>20150225</v>
      </c>
      <c r="X1190" t="s">
        <v>185</v>
      </c>
      <c r="Y1190" t="s">
        <v>708</v>
      </c>
      <c r="Z1190" t="s">
        <v>708</v>
      </c>
      <c r="AA1190">
        <v>0</v>
      </c>
      <c r="AB1190" t="s">
        <v>142</v>
      </c>
      <c r="AC1190" t="s">
        <v>143</v>
      </c>
      <c r="AD1190" t="s">
        <v>40</v>
      </c>
      <c r="AE1190" t="str">
        <f t="shared" si="357"/>
        <v>02</v>
      </c>
      <c r="AF1190" t="s">
        <v>40</v>
      </c>
    </row>
    <row r="1191" spans="1:32" x14ac:dyDescent="0.25">
      <c r="A1191">
        <v>5</v>
      </c>
      <c r="B1191">
        <v>240</v>
      </c>
      <c r="C1191" t="str">
        <f>"35"</f>
        <v>35</v>
      </c>
      <c r="D1191">
        <v>6341</v>
      </c>
      <c r="E1191" t="str">
        <f t="shared" si="343"/>
        <v>00</v>
      </c>
      <c r="F1191" t="str">
        <f t="shared" si="358"/>
        <v>999</v>
      </c>
      <c r="G1191">
        <v>5</v>
      </c>
      <c r="H1191" t="str">
        <f>"99"</f>
        <v>99</v>
      </c>
      <c r="I1191" t="str">
        <f t="shared" si="347"/>
        <v>0</v>
      </c>
      <c r="J1191" t="str">
        <f t="shared" si="341"/>
        <v>00</v>
      </c>
      <c r="K1191">
        <v>20150226</v>
      </c>
      <c r="L1191" t="str">
        <f>"014820"</f>
        <v>014820</v>
      </c>
      <c r="M1191" t="str">
        <f>"00048"</f>
        <v>00048</v>
      </c>
      <c r="N1191" t="s">
        <v>647</v>
      </c>
      <c r="O1191">
        <v>101.97</v>
      </c>
      <c r="Q1191" t="s">
        <v>33</v>
      </c>
      <c r="R1191" t="s">
        <v>34</v>
      </c>
      <c r="S1191" t="s">
        <v>35</v>
      </c>
      <c r="T1191" t="s">
        <v>35</v>
      </c>
      <c r="U1191" t="s">
        <v>34</v>
      </c>
      <c r="V1191" t="str">
        <f>""</f>
        <v/>
      </c>
      <c r="W1191">
        <v>20150225</v>
      </c>
      <c r="X1191" t="s">
        <v>268</v>
      </c>
      <c r="Y1191" t="s">
        <v>573</v>
      </c>
      <c r="Z1191" t="s">
        <v>573</v>
      </c>
      <c r="AA1191">
        <v>0</v>
      </c>
      <c r="AB1191" t="s">
        <v>238</v>
      </c>
      <c r="AC1191" t="s">
        <v>143</v>
      </c>
      <c r="AD1191" t="s">
        <v>40</v>
      </c>
      <c r="AE1191" t="str">
        <f t="shared" si="357"/>
        <v>02</v>
      </c>
      <c r="AF1191" t="s">
        <v>40</v>
      </c>
    </row>
    <row r="1192" spans="1:32" x14ac:dyDescent="0.25">
      <c r="A1192">
        <v>5</v>
      </c>
      <c r="B1192">
        <v>263</v>
      </c>
      <c r="C1192" t="str">
        <f>"11"</f>
        <v>11</v>
      </c>
      <c r="D1192">
        <v>6399</v>
      </c>
      <c r="E1192" t="str">
        <f t="shared" si="343"/>
        <v>00</v>
      </c>
      <c r="F1192" t="str">
        <f t="shared" si="358"/>
        <v>999</v>
      </c>
      <c r="G1192">
        <v>5</v>
      </c>
      <c r="H1192" t="str">
        <f>"25"</f>
        <v>25</v>
      </c>
      <c r="I1192" t="str">
        <f t="shared" si="347"/>
        <v>0</v>
      </c>
      <c r="J1192" t="str">
        <f t="shared" si="341"/>
        <v>00</v>
      </c>
      <c r="K1192">
        <v>20150226</v>
      </c>
      <c r="L1192" t="str">
        <f>"014821"</f>
        <v>014821</v>
      </c>
      <c r="M1192" t="str">
        <f>"00722"</f>
        <v>00722</v>
      </c>
      <c r="N1192" t="s">
        <v>745</v>
      </c>
      <c r="O1192">
        <v>125.92</v>
      </c>
      <c r="Q1192" t="s">
        <v>33</v>
      </c>
      <c r="R1192" t="s">
        <v>34</v>
      </c>
      <c r="S1192" t="s">
        <v>35</v>
      </c>
      <c r="T1192" t="s">
        <v>35</v>
      </c>
      <c r="U1192" t="s">
        <v>34</v>
      </c>
      <c r="V1192" t="str">
        <f>""</f>
        <v/>
      </c>
      <c r="W1192">
        <v>20150225</v>
      </c>
      <c r="X1192" t="s">
        <v>722</v>
      </c>
      <c r="Y1192" t="s">
        <v>723</v>
      </c>
      <c r="Z1192" t="s">
        <v>723</v>
      </c>
      <c r="AA1192">
        <v>0</v>
      </c>
      <c r="AB1192" t="s">
        <v>197</v>
      </c>
      <c r="AC1192" t="s">
        <v>143</v>
      </c>
      <c r="AD1192" t="s">
        <v>40</v>
      </c>
      <c r="AE1192" t="str">
        <f t="shared" si="357"/>
        <v>02</v>
      </c>
      <c r="AF1192" t="s">
        <v>40</v>
      </c>
    </row>
    <row r="1193" spans="1:32" x14ac:dyDescent="0.25">
      <c r="A1193">
        <v>5</v>
      </c>
      <c r="B1193">
        <v>263</v>
      </c>
      <c r="C1193" t="str">
        <f>"11"</f>
        <v>11</v>
      </c>
      <c r="D1193">
        <v>6399</v>
      </c>
      <c r="E1193" t="str">
        <f t="shared" si="343"/>
        <v>00</v>
      </c>
      <c r="F1193" t="str">
        <f t="shared" si="358"/>
        <v>999</v>
      </c>
      <c r="G1193">
        <v>5</v>
      </c>
      <c r="H1193" t="str">
        <f>"25"</f>
        <v>25</v>
      </c>
      <c r="I1193" t="str">
        <f t="shared" si="347"/>
        <v>0</v>
      </c>
      <c r="J1193" t="str">
        <f t="shared" si="341"/>
        <v>00</v>
      </c>
      <c r="K1193">
        <v>20150226</v>
      </c>
      <c r="L1193" t="str">
        <f>"014822"</f>
        <v>014822</v>
      </c>
      <c r="M1193" t="str">
        <f>"00200"</f>
        <v>00200</v>
      </c>
      <c r="N1193" t="s">
        <v>569</v>
      </c>
      <c r="O1193">
        <v>613.79999999999995</v>
      </c>
      <c r="Q1193" t="s">
        <v>33</v>
      </c>
      <c r="R1193" t="s">
        <v>34</v>
      </c>
      <c r="S1193" t="s">
        <v>35</v>
      </c>
      <c r="T1193" t="s">
        <v>35</v>
      </c>
      <c r="U1193" t="s">
        <v>34</v>
      </c>
      <c r="V1193" t="str">
        <f>""</f>
        <v/>
      </c>
      <c r="W1193">
        <v>20150225</v>
      </c>
      <c r="X1193" t="s">
        <v>722</v>
      </c>
      <c r="Y1193" t="s">
        <v>723</v>
      </c>
      <c r="Z1193" t="s">
        <v>723</v>
      </c>
      <c r="AA1193">
        <v>0</v>
      </c>
      <c r="AB1193" t="s">
        <v>197</v>
      </c>
      <c r="AC1193" t="s">
        <v>143</v>
      </c>
      <c r="AD1193" t="s">
        <v>40</v>
      </c>
      <c r="AE1193" t="str">
        <f t="shared" si="357"/>
        <v>02</v>
      </c>
      <c r="AF1193" t="s">
        <v>40</v>
      </c>
    </row>
    <row r="1194" spans="1:32" x14ac:dyDescent="0.25">
      <c r="A1194">
        <v>5</v>
      </c>
      <c r="B1194">
        <v>263</v>
      </c>
      <c r="C1194" t="str">
        <f>"11"</f>
        <v>11</v>
      </c>
      <c r="D1194">
        <v>6399</v>
      </c>
      <c r="E1194" t="str">
        <f t="shared" si="343"/>
        <v>00</v>
      </c>
      <c r="F1194" t="str">
        <f t="shared" si="358"/>
        <v>999</v>
      </c>
      <c r="G1194">
        <v>5</v>
      </c>
      <c r="H1194" t="str">
        <f>"25"</f>
        <v>25</v>
      </c>
      <c r="I1194" t="str">
        <f t="shared" si="347"/>
        <v>0</v>
      </c>
      <c r="J1194" t="str">
        <f t="shared" si="341"/>
        <v>00</v>
      </c>
      <c r="K1194">
        <v>20150226</v>
      </c>
      <c r="L1194" t="str">
        <f>"014822"</f>
        <v>014822</v>
      </c>
      <c r="M1194" t="str">
        <f>"00200"</f>
        <v>00200</v>
      </c>
      <c r="N1194" t="s">
        <v>569</v>
      </c>
      <c r="O1194">
        <v>731.43</v>
      </c>
      <c r="Q1194" t="s">
        <v>33</v>
      </c>
      <c r="R1194" t="s">
        <v>34</v>
      </c>
      <c r="S1194" t="s">
        <v>35</v>
      </c>
      <c r="T1194" t="s">
        <v>35</v>
      </c>
      <c r="U1194" t="s">
        <v>34</v>
      </c>
      <c r="V1194" t="str">
        <f>""</f>
        <v/>
      </c>
      <c r="W1194">
        <v>20150225</v>
      </c>
      <c r="X1194" t="s">
        <v>722</v>
      </c>
      <c r="Y1194" t="s">
        <v>746</v>
      </c>
      <c r="Z1194" t="s">
        <v>746</v>
      </c>
      <c r="AA1194">
        <v>0</v>
      </c>
      <c r="AB1194" t="s">
        <v>197</v>
      </c>
      <c r="AC1194" t="s">
        <v>143</v>
      </c>
      <c r="AD1194" t="s">
        <v>40</v>
      </c>
      <c r="AE1194" t="str">
        <f t="shared" si="357"/>
        <v>02</v>
      </c>
      <c r="AF1194" t="s">
        <v>40</v>
      </c>
    </row>
    <row r="1195" spans="1:32" x14ac:dyDescent="0.25">
      <c r="A1195">
        <v>5</v>
      </c>
      <c r="B1195">
        <v>420</v>
      </c>
      <c r="C1195" t="str">
        <f>"61"</f>
        <v>61</v>
      </c>
      <c r="D1195">
        <v>6219</v>
      </c>
      <c r="E1195" t="str">
        <f t="shared" si="343"/>
        <v>00</v>
      </c>
      <c r="F1195" t="str">
        <f t="shared" si="358"/>
        <v>999</v>
      </c>
      <c r="G1195">
        <v>5</v>
      </c>
      <c r="H1195" t="str">
        <f>"11"</f>
        <v>11</v>
      </c>
      <c r="I1195" t="str">
        <f t="shared" si="347"/>
        <v>0</v>
      </c>
      <c r="J1195" t="str">
        <f t="shared" si="341"/>
        <v>00</v>
      </c>
      <c r="K1195">
        <v>20150226</v>
      </c>
      <c r="L1195" t="str">
        <f>"014823"</f>
        <v>014823</v>
      </c>
      <c r="M1195" t="str">
        <f>"00566"</f>
        <v>00566</v>
      </c>
      <c r="N1195" t="s">
        <v>221</v>
      </c>
      <c r="O1195">
        <v>67</v>
      </c>
      <c r="Q1195" t="s">
        <v>33</v>
      </c>
      <c r="R1195" t="s">
        <v>34</v>
      </c>
      <c r="S1195" t="s">
        <v>35</v>
      </c>
      <c r="T1195" t="s">
        <v>35</v>
      </c>
      <c r="U1195" t="s">
        <v>34</v>
      </c>
      <c r="V1195" t="str">
        <f>""</f>
        <v/>
      </c>
      <c r="W1195">
        <v>20150225</v>
      </c>
      <c r="X1195" t="s">
        <v>222</v>
      </c>
      <c r="Y1195" t="s">
        <v>699</v>
      </c>
      <c r="Z1195" t="s">
        <v>699</v>
      </c>
      <c r="AA1195">
        <v>0</v>
      </c>
      <c r="AB1195" t="s">
        <v>142</v>
      </c>
      <c r="AC1195" t="s">
        <v>143</v>
      </c>
      <c r="AD1195" t="s">
        <v>40</v>
      </c>
      <c r="AE1195" t="str">
        <f t="shared" si="357"/>
        <v>02</v>
      </c>
      <c r="AF1195" t="s">
        <v>40</v>
      </c>
    </row>
    <row r="1196" spans="1:32" x14ac:dyDescent="0.25">
      <c r="A1196">
        <v>5</v>
      </c>
      <c r="B1196">
        <v>420</v>
      </c>
      <c r="C1196" t="str">
        <f>"51"</f>
        <v>51</v>
      </c>
      <c r="D1196">
        <v>6259</v>
      </c>
      <c r="E1196" t="str">
        <f>"53"</f>
        <v>53</v>
      </c>
      <c r="F1196" t="str">
        <f t="shared" si="358"/>
        <v>999</v>
      </c>
      <c r="G1196">
        <v>5</v>
      </c>
      <c r="H1196" t="str">
        <f>"99"</f>
        <v>99</v>
      </c>
      <c r="I1196" t="str">
        <f t="shared" si="347"/>
        <v>0</v>
      </c>
      <c r="J1196" t="str">
        <f t="shared" si="341"/>
        <v>00</v>
      </c>
      <c r="K1196">
        <v>20150226</v>
      </c>
      <c r="L1196" t="str">
        <f>"014824"</f>
        <v>014824</v>
      </c>
      <c r="M1196" t="str">
        <f>"00726"</f>
        <v>00726</v>
      </c>
      <c r="N1196" t="s">
        <v>227</v>
      </c>
      <c r="O1196" s="1">
        <v>1201.8399999999999</v>
      </c>
      <c r="Q1196" t="s">
        <v>33</v>
      </c>
      <c r="R1196" t="s">
        <v>34</v>
      </c>
      <c r="S1196" t="s">
        <v>35</v>
      </c>
      <c r="T1196" t="s">
        <v>35</v>
      </c>
      <c r="U1196" t="s">
        <v>34</v>
      </c>
      <c r="V1196" t="str">
        <f>""</f>
        <v/>
      </c>
      <c r="W1196">
        <v>20150225</v>
      </c>
      <c r="X1196" t="s">
        <v>228</v>
      </c>
      <c r="Y1196" t="s">
        <v>621</v>
      </c>
      <c r="Z1196" t="s">
        <v>621</v>
      </c>
      <c r="AA1196">
        <v>0</v>
      </c>
      <c r="AB1196" t="s">
        <v>142</v>
      </c>
      <c r="AC1196" t="s">
        <v>143</v>
      </c>
      <c r="AD1196" t="s">
        <v>40</v>
      </c>
      <c r="AE1196" t="str">
        <f t="shared" si="357"/>
        <v>02</v>
      </c>
      <c r="AF1196" t="s">
        <v>40</v>
      </c>
    </row>
    <row r="1197" spans="1:32" x14ac:dyDescent="0.25">
      <c r="A1197">
        <v>5</v>
      </c>
      <c r="B1197">
        <v>420</v>
      </c>
      <c r="C1197" t="str">
        <f>"51"</f>
        <v>51</v>
      </c>
      <c r="D1197">
        <v>6259</v>
      </c>
      <c r="E1197" t="str">
        <f>"53"</f>
        <v>53</v>
      </c>
      <c r="F1197" t="str">
        <f t="shared" si="358"/>
        <v>999</v>
      </c>
      <c r="G1197">
        <v>5</v>
      </c>
      <c r="H1197" t="str">
        <f>"99"</f>
        <v>99</v>
      </c>
      <c r="I1197" t="str">
        <f t="shared" si="347"/>
        <v>0</v>
      </c>
      <c r="J1197" t="str">
        <f t="shared" si="341"/>
        <v>00</v>
      </c>
      <c r="K1197">
        <v>20150226</v>
      </c>
      <c r="L1197" t="str">
        <f>"014824"</f>
        <v>014824</v>
      </c>
      <c r="M1197" t="str">
        <f>"00726"</f>
        <v>00726</v>
      </c>
      <c r="N1197" t="s">
        <v>227</v>
      </c>
      <c r="O1197" s="1">
        <v>2203.5100000000002</v>
      </c>
      <c r="Q1197" t="s">
        <v>33</v>
      </c>
      <c r="R1197" t="s">
        <v>34</v>
      </c>
      <c r="S1197" t="s">
        <v>35</v>
      </c>
      <c r="T1197" t="s">
        <v>35</v>
      </c>
      <c r="U1197" t="s">
        <v>34</v>
      </c>
      <c r="V1197" t="str">
        <f>""</f>
        <v/>
      </c>
      <c r="W1197">
        <v>20150225</v>
      </c>
      <c r="X1197" t="s">
        <v>228</v>
      </c>
      <c r="Y1197" t="s">
        <v>621</v>
      </c>
      <c r="Z1197" t="s">
        <v>621</v>
      </c>
      <c r="AA1197">
        <v>0</v>
      </c>
      <c r="AB1197" t="s">
        <v>142</v>
      </c>
      <c r="AC1197" t="s">
        <v>143</v>
      </c>
      <c r="AD1197" t="s">
        <v>40</v>
      </c>
      <c r="AE1197" t="str">
        <f t="shared" si="357"/>
        <v>02</v>
      </c>
      <c r="AF1197" t="s">
        <v>40</v>
      </c>
    </row>
    <row r="1198" spans="1:32" x14ac:dyDescent="0.25">
      <c r="A1198">
        <v>5</v>
      </c>
      <c r="B1198">
        <v>420</v>
      </c>
      <c r="C1198" t="str">
        <f>"51"</f>
        <v>51</v>
      </c>
      <c r="D1198">
        <v>6259</v>
      </c>
      <c r="E1198" t="str">
        <f>"53"</f>
        <v>53</v>
      </c>
      <c r="F1198" t="str">
        <f t="shared" si="358"/>
        <v>999</v>
      </c>
      <c r="G1198">
        <v>5</v>
      </c>
      <c r="H1198" t="str">
        <f>"99"</f>
        <v>99</v>
      </c>
      <c r="I1198" t="str">
        <f t="shared" si="347"/>
        <v>0</v>
      </c>
      <c r="J1198" t="str">
        <f t="shared" si="341"/>
        <v>00</v>
      </c>
      <c r="K1198">
        <v>20150226</v>
      </c>
      <c r="L1198" t="str">
        <f>"014824"</f>
        <v>014824</v>
      </c>
      <c r="M1198" t="str">
        <f>"00726"</f>
        <v>00726</v>
      </c>
      <c r="N1198" t="s">
        <v>227</v>
      </c>
      <c r="O1198" s="1">
        <v>2407.52</v>
      </c>
      <c r="Q1198" t="s">
        <v>33</v>
      </c>
      <c r="R1198" t="s">
        <v>34</v>
      </c>
      <c r="S1198" t="s">
        <v>35</v>
      </c>
      <c r="T1198" t="s">
        <v>35</v>
      </c>
      <c r="U1198" t="s">
        <v>34</v>
      </c>
      <c r="V1198" t="str">
        <f>""</f>
        <v/>
      </c>
      <c r="W1198">
        <v>20150225</v>
      </c>
      <c r="X1198" t="s">
        <v>228</v>
      </c>
      <c r="Y1198" t="s">
        <v>621</v>
      </c>
      <c r="Z1198" t="s">
        <v>621</v>
      </c>
      <c r="AA1198">
        <v>0</v>
      </c>
      <c r="AB1198" t="s">
        <v>142</v>
      </c>
      <c r="AC1198" t="s">
        <v>143</v>
      </c>
      <c r="AD1198" t="s">
        <v>40</v>
      </c>
      <c r="AE1198" t="str">
        <f t="shared" si="357"/>
        <v>02</v>
      </c>
      <c r="AF1198" t="s">
        <v>40</v>
      </c>
    </row>
    <row r="1199" spans="1:32" x14ac:dyDescent="0.25">
      <c r="A1199">
        <v>5</v>
      </c>
      <c r="B1199">
        <v>420</v>
      </c>
      <c r="C1199" t="str">
        <f>"13"</f>
        <v>13</v>
      </c>
      <c r="D1199">
        <v>6219</v>
      </c>
      <c r="E1199" t="str">
        <f t="shared" ref="E1199:E1209" si="359">"00"</f>
        <v>00</v>
      </c>
      <c r="F1199" t="str">
        <f t="shared" si="358"/>
        <v>999</v>
      </c>
      <c r="G1199">
        <v>5</v>
      </c>
      <c r="H1199" t="str">
        <f>"11"</f>
        <v>11</v>
      </c>
      <c r="I1199" t="str">
        <f t="shared" si="347"/>
        <v>0</v>
      </c>
      <c r="J1199" t="str">
        <f t="shared" si="341"/>
        <v>00</v>
      </c>
      <c r="K1199">
        <v>20150226</v>
      </c>
      <c r="L1199" t="str">
        <f>"014825"</f>
        <v>014825</v>
      </c>
      <c r="M1199" t="str">
        <f>"00535"</f>
        <v>00535</v>
      </c>
      <c r="N1199" t="s">
        <v>747</v>
      </c>
      <c r="O1199">
        <v>518</v>
      </c>
      <c r="Q1199" t="s">
        <v>33</v>
      </c>
      <c r="R1199" t="s">
        <v>34</v>
      </c>
      <c r="S1199" t="s">
        <v>35</v>
      </c>
      <c r="T1199" t="s">
        <v>35</v>
      </c>
      <c r="U1199" t="s">
        <v>34</v>
      </c>
      <c r="V1199" t="str">
        <f>""</f>
        <v/>
      </c>
      <c r="W1199">
        <v>20150225</v>
      </c>
      <c r="X1199" t="s">
        <v>748</v>
      </c>
      <c r="Y1199" t="s">
        <v>749</v>
      </c>
      <c r="Z1199" t="s">
        <v>749</v>
      </c>
      <c r="AA1199">
        <v>0</v>
      </c>
      <c r="AB1199" t="s">
        <v>142</v>
      </c>
      <c r="AC1199" t="s">
        <v>143</v>
      </c>
      <c r="AD1199" t="s">
        <v>40</v>
      </c>
      <c r="AE1199" t="str">
        <f t="shared" si="357"/>
        <v>02</v>
      </c>
      <c r="AF1199" t="s">
        <v>40</v>
      </c>
    </row>
    <row r="1200" spans="1:32" x14ac:dyDescent="0.25">
      <c r="A1200">
        <v>5</v>
      </c>
      <c r="B1200">
        <v>420</v>
      </c>
      <c r="C1200" t="str">
        <f>"11"</f>
        <v>11</v>
      </c>
      <c r="D1200">
        <v>6399</v>
      </c>
      <c r="E1200" t="str">
        <f t="shared" si="359"/>
        <v>00</v>
      </c>
      <c r="F1200" t="str">
        <f>"001"</f>
        <v>001</v>
      </c>
      <c r="G1200">
        <v>5</v>
      </c>
      <c r="H1200" t="str">
        <f>"11"</f>
        <v>11</v>
      </c>
      <c r="I1200" t="str">
        <f t="shared" si="347"/>
        <v>0</v>
      </c>
      <c r="J1200" t="str">
        <f t="shared" si="341"/>
        <v>00</v>
      </c>
      <c r="K1200">
        <v>20150226</v>
      </c>
      <c r="L1200" t="str">
        <f>"014826"</f>
        <v>014826</v>
      </c>
      <c r="M1200" t="str">
        <f>"00701"</f>
        <v>00701</v>
      </c>
      <c r="N1200" t="s">
        <v>120</v>
      </c>
      <c r="O1200">
        <v>7.54</v>
      </c>
      <c r="Q1200" t="s">
        <v>33</v>
      </c>
      <c r="R1200" t="s">
        <v>34</v>
      </c>
      <c r="S1200" t="s">
        <v>35</v>
      </c>
      <c r="T1200" t="s">
        <v>35</v>
      </c>
      <c r="U1200" t="s">
        <v>34</v>
      </c>
      <c r="V1200" t="str">
        <f>""</f>
        <v/>
      </c>
      <c r="W1200">
        <v>20150225</v>
      </c>
      <c r="X1200" t="s">
        <v>239</v>
      </c>
      <c r="Y1200" t="s">
        <v>713</v>
      </c>
      <c r="Z1200" t="s">
        <v>713</v>
      </c>
      <c r="AA1200">
        <v>0</v>
      </c>
      <c r="AB1200" t="s">
        <v>142</v>
      </c>
      <c r="AC1200" t="s">
        <v>41</v>
      </c>
      <c r="AD1200" t="s">
        <v>40</v>
      </c>
      <c r="AE1200" t="str">
        <f t="shared" si="357"/>
        <v>02</v>
      </c>
      <c r="AF1200" t="s">
        <v>40</v>
      </c>
    </row>
    <row r="1201" spans="1:32" x14ac:dyDescent="0.25">
      <c r="A1201">
        <v>5</v>
      </c>
      <c r="B1201">
        <v>420</v>
      </c>
      <c r="C1201" t="str">
        <f>"11"</f>
        <v>11</v>
      </c>
      <c r="D1201">
        <v>6399</v>
      </c>
      <c r="E1201" t="str">
        <f t="shared" si="359"/>
        <v>00</v>
      </c>
      <c r="F1201" t="str">
        <f>"041"</f>
        <v>041</v>
      </c>
      <c r="G1201">
        <v>5</v>
      </c>
      <c r="H1201" t="str">
        <f>"11"</f>
        <v>11</v>
      </c>
      <c r="I1201" t="str">
        <f t="shared" si="347"/>
        <v>0</v>
      </c>
      <c r="J1201" t="str">
        <f t="shared" si="341"/>
        <v>00</v>
      </c>
      <c r="K1201">
        <v>20150226</v>
      </c>
      <c r="L1201" t="str">
        <f>"014826"</f>
        <v>014826</v>
      </c>
      <c r="M1201" t="str">
        <f>"00701"</f>
        <v>00701</v>
      </c>
      <c r="N1201" t="s">
        <v>120</v>
      </c>
      <c r="O1201">
        <v>7.54</v>
      </c>
      <c r="Q1201" t="s">
        <v>33</v>
      </c>
      <c r="R1201" t="s">
        <v>34</v>
      </c>
      <c r="S1201" t="s">
        <v>35</v>
      </c>
      <c r="T1201" t="s">
        <v>35</v>
      </c>
      <c r="U1201" t="s">
        <v>34</v>
      </c>
      <c r="V1201" t="str">
        <f>""</f>
        <v/>
      </c>
      <c r="W1201">
        <v>20150225</v>
      </c>
      <c r="X1201" t="s">
        <v>241</v>
      </c>
      <c r="Y1201" t="s">
        <v>713</v>
      </c>
      <c r="Z1201" t="s">
        <v>713</v>
      </c>
      <c r="AA1201">
        <v>0</v>
      </c>
      <c r="AB1201" t="s">
        <v>142</v>
      </c>
      <c r="AC1201" t="s">
        <v>41</v>
      </c>
      <c r="AD1201" t="s">
        <v>40</v>
      </c>
      <c r="AE1201" t="str">
        <f t="shared" si="357"/>
        <v>02</v>
      </c>
      <c r="AF1201" t="s">
        <v>40</v>
      </c>
    </row>
    <row r="1202" spans="1:32" x14ac:dyDescent="0.25">
      <c r="A1202">
        <v>5</v>
      </c>
      <c r="B1202">
        <v>420</v>
      </c>
      <c r="C1202" t="str">
        <f>"11"</f>
        <v>11</v>
      </c>
      <c r="D1202">
        <v>6399</v>
      </c>
      <c r="E1202" t="str">
        <f t="shared" si="359"/>
        <v>00</v>
      </c>
      <c r="F1202" t="str">
        <f>"101"</f>
        <v>101</v>
      </c>
      <c r="G1202">
        <v>5</v>
      </c>
      <c r="H1202" t="str">
        <f>"11"</f>
        <v>11</v>
      </c>
      <c r="I1202" t="str">
        <f t="shared" si="347"/>
        <v>0</v>
      </c>
      <c r="J1202" t="str">
        <f t="shared" si="341"/>
        <v>00</v>
      </c>
      <c r="K1202">
        <v>20150226</v>
      </c>
      <c r="L1202" t="str">
        <f>"014826"</f>
        <v>014826</v>
      </c>
      <c r="M1202" t="str">
        <f>"00701"</f>
        <v>00701</v>
      </c>
      <c r="N1202" t="s">
        <v>120</v>
      </c>
      <c r="O1202">
        <v>32.06</v>
      </c>
      <c r="Q1202" t="s">
        <v>33</v>
      </c>
      <c r="R1202" t="s">
        <v>34</v>
      </c>
      <c r="S1202" t="s">
        <v>35</v>
      </c>
      <c r="T1202" t="s">
        <v>35</v>
      </c>
      <c r="U1202" t="s">
        <v>34</v>
      </c>
      <c r="V1202" t="str">
        <f>""</f>
        <v/>
      </c>
      <c r="W1202">
        <v>20150225</v>
      </c>
      <c r="X1202" t="s">
        <v>246</v>
      </c>
      <c r="Y1202" t="s">
        <v>713</v>
      </c>
      <c r="Z1202" t="s">
        <v>713</v>
      </c>
      <c r="AA1202">
        <v>0</v>
      </c>
      <c r="AB1202" t="s">
        <v>142</v>
      </c>
      <c r="AC1202" t="s">
        <v>41</v>
      </c>
      <c r="AD1202" t="s">
        <v>40</v>
      </c>
      <c r="AE1202" t="str">
        <f t="shared" si="357"/>
        <v>02</v>
      </c>
      <c r="AF1202" t="s">
        <v>40</v>
      </c>
    </row>
    <row r="1203" spans="1:32" x14ac:dyDescent="0.25">
      <c r="A1203">
        <v>5</v>
      </c>
      <c r="B1203">
        <v>240</v>
      </c>
      <c r="C1203" t="str">
        <f>"35"</f>
        <v>35</v>
      </c>
      <c r="D1203">
        <v>6319</v>
      </c>
      <c r="E1203" t="str">
        <f t="shared" si="359"/>
        <v>00</v>
      </c>
      <c r="F1203" t="str">
        <f t="shared" ref="F1203:F1221" si="360">"999"</f>
        <v>999</v>
      </c>
      <c r="G1203">
        <v>5</v>
      </c>
      <c r="H1203" t="str">
        <f>"99"</f>
        <v>99</v>
      </c>
      <c r="I1203" t="str">
        <f t="shared" si="347"/>
        <v>0</v>
      </c>
      <c r="J1203" t="str">
        <f t="shared" si="341"/>
        <v>00</v>
      </c>
      <c r="K1203">
        <v>20150226</v>
      </c>
      <c r="L1203" t="str">
        <f>"014827"</f>
        <v>014827</v>
      </c>
      <c r="M1203" t="str">
        <f>"00391"</f>
        <v>00391</v>
      </c>
      <c r="N1203" t="s">
        <v>265</v>
      </c>
      <c r="O1203">
        <v>99.74</v>
      </c>
      <c r="Q1203" t="s">
        <v>33</v>
      </c>
      <c r="R1203" t="s">
        <v>34</v>
      </c>
      <c r="S1203" t="s">
        <v>35</v>
      </c>
      <c r="T1203" t="s">
        <v>35</v>
      </c>
      <c r="U1203" t="s">
        <v>34</v>
      </c>
      <c r="V1203" t="str">
        <f>""</f>
        <v/>
      </c>
      <c r="W1203">
        <v>20150225</v>
      </c>
      <c r="X1203" t="s">
        <v>267</v>
      </c>
      <c r="Y1203" t="s">
        <v>557</v>
      </c>
      <c r="Z1203" t="s">
        <v>557</v>
      </c>
      <c r="AA1203">
        <v>0</v>
      </c>
      <c r="AB1203" t="s">
        <v>238</v>
      </c>
      <c r="AC1203" t="s">
        <v>143</v>
      </c>
      <c r="AD1203" t="s">
        <v>40</v>
      </c>
      <c r="AE1203" t="str">
        <f t="shared" si="357"/>
        <v>02</v>
      </c>
      <c r="AF1203" t="s">
        <v>40</v>
      </c>
    </row>
    <row r="1204" spans="1:32" x14ac:dyDescent="0.25">
      <c r="A1204">
        <v>5</v>
      </c>
      <c r="B1204">
        <v>240</v>
      </c>
      <c r="C1204" t="str">
        <f>"35"</f>
        <v>35</v>
      </c>
      <c r="D1204">
        <v>6341</v>
      </c>
      <c r="E1204" t="str">
        <f t="shared" si="359"/>
        <v>00</v>
      </c>
      <c r="F1204" t="str">
        <f t="shared" si="360"/>
        <v>999</v>
      </c>
      <c r="G1204">
        <v>5</v>
      </c>
      <c r="H1204" t="str">
        <f>"99"</f>
        <v>99</v>
      </c>
      <c r="I1204" t="str">
        <f t="shared" si="347"/>
        <v>0</v>
      </c>
      <c r="J1204" t="str">
        <f t="shared" si="341"/>
        <v>00</v>
      </c>
      <c r="K1204">
        <v>20150226</v>
      </c>
      <c r="L1204" t="str">
        <f>"014827"</f>
        <v>014827</v>
      </c>
      <c r="M1204" t="str">
        <f>"00391"</f>
        <v>00391</v>
      </c>
      <c r="N1204" t="s">
        <v>265</v>
      </c>
      <c r="O1204" s="1">
        <v>1887.69</v>
      </c>
      <c r="Q1204" t="s">
        <v>33</v>
      </c>
      <c r="R1204" t="s">
        <v>34</v>
      </c>
      <c r="S1204" t="s">
        <v>35</v>
      </c>
      <c r="T1204" t="s">
        <v>35</v>
      </c>
      <c r="U1204" t="s">
        <v>34</v>
      </c>
      <c r="V1204" t="str">
        <f>""</f>
        <v/>
      </c>
      <c r="W1204">
        <v>20150225</v>
      </c>
      <c r="X1204" t="s">
        <v>268</v>
      </c>
      <c r="Y1204" t="s">
        <v>557</v>
      </c>
      <c r="Z1204" t="s">
        <v>557</v>
      </c>
      <c r="AA1204">
        <v>0</v>
      </c>
      <c r="AB1204" t="s">
        <v>238</v>
      </c>
      <c r="AC1204" t="s">
        <v>143</v>
      </c>
      <c r="AD1204" t="s">
        <v>40</v>
      </c>
      <c r="AE1204" t="str">
        <f t="shared" si="357"/>
        <v>02</v>
      </c>
      <c r="AF1204" t="s">
        <v>40</v>
      </c>
    </row>
    <row r="1205" spans="1:32" x14ac:dyDescent="0.25">
      <c r="A1205">
        <v>5</v>
      </c>
      <c r="B1205">
        <v>240</v>
      </c>
      <c r="C1205" t="str">
        <f>"35"</f>
        <v>35</v>
      </c>
      <c r="D1205">
        <v>6341</v>
      </c>
      <c r="E1205" t="str">
        <f t="shared" si="359"/>
        <v>00</v>
      </c>
      <c r="F1205" t="str">
        <f t="shared" si="360"/>
        <v>999</v>
      </c>
      <c r="G1205">
        <v>5</v>
      </c>
      <c r="H1205" t="str">
        <f>"99"</f>
        <v>99</v>
      </c>
      <c r="I1205" t="str">
        <f t="shared" si="347"/>
        <v>0</v>
      </c>
      <c r="J1205" t="str">
        <f t="shared" si="341"/>
        <v>00</v>
      </c>
      <c r="K1205">
        <v>20150226</v>
      </c>
      <c r="L1205" t="str">
        <f>"014827"</f>
        <v>014827</v>
      </c>
      <c r="M1205" t="str">
        <f>"00391"</f>
        <v>00391</v>
      </c>
      <c r="N1205" t="s">
        <v>265</v>
      </c>
      <c r="O1205">
        <v>90.82</v>
      </c>
      <c r="Q1205" t="s">
        <v>33</v>
      </c>
      <c r="R1205" t="s">
        <v>34</v>
      </c>
      <c r="S1205" t="s">
        <v>35</v>
      </c>
      <c r="T1205" t="s">
        <v>35</v>
      </c>
      <c r="U1205" t="s">
        <v>34</v>
      </c>
      <c r="V1205" t="str">
        <f>""</f>
        <v/>
      </c>
      <c r="W1205">
        <v>20150225</v>
      </c>
      <c r="X1205" t="s">
        <v>268</v>
      </c>
      <c r="Y1205" t="s">
        <v>557</v>
      </c>
      <c r="Z1205" t="s">
        <v>557</v>
      </c>
      <c r="AA1205">
        <v>0</v>
      </c>
      <c r="AB1205" t="s">
        <v>238</v>
      </c>
      <c r="AC1205" t="s">
        <v>143</v>
      </c>
      <c r="AD1205" t="s">
        <v>40</v>
      </c>
      <c r="AE1205" t="str">
        <f t="shared" si="357"/>
        <v>02</v>
      </c>
      <c r="AF1205" t="s">
        <v>40</v>
      </c>
    </row>
    <row r="1206" spans="1:32" x14ac:dyDescent="0.25">
      <c r="A1206">
        <v>5</v>
      </c>
      <c r="B1206">
        <v>240</v>
      </c>
      <c r="C1206" t="str">
        <f>"35"</f>
        <v>35</v>
      </c>
      <c r="D1206">
        <v>6342</v>
      </c>
      <c r="E1206" t="str">
        <f t="shared" si="359"/>
        <v>00</v>
      </c>
      <c r="F1206" t="str">
        <f t="shared" si="360"/>
        <v>999</v>
      </c>
      <c r="G1206">
        <v>5</v>
      </c>
      <c r="H1206" t="str">
        <f>"99"</f>
        <v>99</v>
      </c>
      <c r="I1206" t="str">
        <f t="shared" si="347"/>
        <v>0</v>
      </c>
      <c r="J1206" t="str">
        <f t="shared" si="341"/>
        <v>00</v>
      </c>
      <c r="K1206">
        <v>20150226</v>
      </c>
      <c r="L1206" t="str">
        <f>"014827"</f>
        <v>014827</v>
      </c>
      <c r="M1206" t="str">
        <f>"00391"</f>
        <v>00391</v>
      </c>
      <c r="N1206" t="s">
        <v>265</v>
      </c>
      <c r="O1206">
        <v>175.7</v>
      </c>
      <c r="Q1206" t="s">
        <v>33</v>
      </c>
      <c r="R1206" t="s">
        <v>34</v>
      </c>
      <c r="S1206" t="s">
        <v>35</v>
      </c>
      <c r="T1206" t="s">
        <v>35</v>
      </c>
      <c r="U1206" t="s">
        <v>34</v>
      </c>
      <c r="V1206" t="str">
        <f>""</f>
        <v/>
      </c>
      <c r="W1206">
        <v>20150225</v>
      </c>
      <c r="X1206" t="s">
        <v>269</v>
      </c>
      <c r="Y1206" t="s">
        <v>557</v>
      </c>
      <c r="Z1206" t="s">
        <v>557</v>
      </c>
      <c r="AA1206">
        <v>0</v>
      </c>
      <c r="AB1206" t="s">
        <v>238</v>
      </c>
      <c r="AC1206" t="s">
        <v>143</v>
      </c>
      <c r="AD1206" t="s">
        <v>40</v>
      </c>
      <c r="AE1206" t="str">
        <f t="shared" si="357"/>
        <v>02</v>
      </c>
      <c r="AF1206" t="s">
        <v>40</v>
      </c>
    </row>
    <row r="1207" spans="1:32" x14ac:dyDescent="0.25">
      <c r="A1207">
        <v>5</v>
      </c>
      <c r="B1207">
        <v>263</v>
      </c>
      <c r="C1207" t="str">
        <f>"11"</f>
        <v>11</v>
      </c>
      <c r="D1207">
        <v>6399</v>
      </c>
      <c r="E1207" t="str">
        <f t="shared" si="359"/>
        <v>00</v>
      </c>
      <c r="F1207" t="str">
        <f t="shared" si="360"/>
        <v>999</v>
      </c>
      <c r="G1207">
        <v>5</v>
      </c>
      <c r="H1207" t="str">
        <f>"25"</f>
        <v>25</v>
      </c>
      <c r="I1207" t="str">
        <f t="shared" si="347"/>
        <v>0</v>
      </c>
      <c r="J1207" t="str">
        <f t="shared" si="341"/>
        <v>00</v>
      </c>
      <c r="K1207">
        <v>20150226</v>
      </c>
      <c r="L1207" t="str">
        <f>"014828"</f>
        <v>014828</v>
      </c>
      <c r="M1207" t="str">
        <f>"00626"</f>
        <v>00626</v>
      </c>
      <c r="N1207" t="s">
        <v>750</v>
      </c>
      <c r="O1207">
        <v>384.98</v>
      </c>
      <c r="Q1207" t="s">
        <v>33</v>
      </c>
      <c r="R1207" t="s">
        <v>34</v>
      </c>
      <c r="S1207" t="s">
        <v>35</v>
      </c>
      <c r="T1207" t="s">
        <v>35</v>
      </c>
      <c r="U1207" t="s">
        <v>34</v>
      </c>
      <c r="V1207" t="str">
        <f>""</f>
        <v/>
      </c>
      <c r="W1207">
        <v>20150225</v>
      </c>
      <c r="X1207" t="s">
        <v>722</v>
      </c>
      <c r="Y1207" t="s">
        <v>723</v>
      </c>
      <c r="Z1207" t="s">
        <v>723</v>
      </c>
      <c r="AA1207">
        <v>0</v>
      </c>
      <c r="AB1207" t="s">
        <v>197</v>
      </c>
      <c r="AC1207" t="s">
        <v>143</v>
      </c>
      <c r="AD1207" t="s">
        <v>40</v>
      </c>
      <c r="AE1207" t="str">
        <f t="shared" si="357"/>
        <v>02</v>
      </c>
      <c r="AF1207" t="s">
        <v>40</v>
      </c>
    </row>
    <row r="1208" spans="1:32" x14ac:dyDescent="0.25">
      <c r="A1208">
        <v>5</v>
      </c>
      <c r="B1208">
        <v>240</v>
      </c>
      <c r="C1208" t="str">
        <f>"35"</f>
        <v>35</v>
      </c>
      <c r="D1208">
        <v>6299</v>
      </c>
      <c r="E1208" t="str">
        <f t="shared" si="359"/>
        <v>00</v>
      </c>
      <c r="F1208" t="str">
        <f t="shared" si="360"/>
        <v>999</v>
      </c>
      <c r="G1208">
        <v>5</v>
      </c>
      <c r="H1208" t="str">
        <f t="shared" ref="H1208:H1213" si="361">"99"</f>
        <v>99</v>
      </c>
      <c r="I1208" t="str">
        <f t="shared" si="347"/>
        <v>0</v>
      </c>
      <c r="J1208" t="str">
        <f t="shared" si="341"/>
        <v>00</v>
      </c>
      <c r="K1208">
        <v>20150226</v>
      </c>
      <c r="L1208" t="str">
        <f>"014829"</f>
        <v>014829</v>
      </c>
      <c r="M1208" t="str">
        <f>"00577"</f>
        <v>00577</v>
      </c>
      <c r="N1208" t="s">
        <v>251</v>
      </c>
      <c r="O1208">
        <v>39.04</v>
      </c>
      <c r="Q1208" t="s">
        <v>33</v>
      </c>
      <c r="R1208" t="s">
        <v>34</v>
      </c>
      <c r="S1208" t="s">
        <v>35</v>
      </c>
      <c r="T1208" t="s">
        <v>35</v>
      </c>
      <c r="U1208" t="s">
        <v>34</v>
      </c>
      <c r="V1208" t="str">
        <f>""</f>
        <v/>
      </c>
      <c r="W1208">
        <v>20150225</v>
      </c>
      <c r="X1208" t="s">
        <v>252</v>
      </c>
      <c r="Y1208" t="s">
        <v>253</v>
      </c>
      <c r="Z1208" t="s">
        <v>253</v>
      </c>
      <c r="AA1208">
        <v>0</v>
      </c>
      <c r="AB1208" t="s">
        <v>238</v>
      </c>
      <c r="AC1208" t="s">
        <v>143</v>
      </c>
      <c r="AD1208" t="s">
        <v>40</v>
      </c>
      <c r="AE1208" t="str">
        <f t="shared" si="357"/>
        <v>02</v>
      </c>
      <c r="AF1208" t="s">
        <v>40</v>
      </c>
    </row>
    <row r="1209" spans="1:32" x14ac:dyDescent="0.25">
      <c r="A1209">
        <v>5</v>
      </c>
      <c r="B1209">
        <v>420</v>
      </c>
      <c r="C1209" t="str">
        <f>"51"</f>
        <v>51</v>
      </c>
      <c r="D1209">
        <v>6299</v>
      </c>
      <c r="E1209" t="str">
        <f t="shared" si="359"/>
        <v>00</v>
      </c>
      <c r="F1209" t="str">
        <f t="shared" si="360"/>
        <v>999</v>
      </c>
      <c r="G1209">
        <v>5</v>
      </c>
      <c r="H1209" t="str">
        <f t="shared" si="361"/>
        <v>99</v>
      </c>
      <c r="I1209" t="str">
        <f t="shared" si="347"/>
        <v>0</v>
      </c>
      <c r="J1209" t="str">
        <f t="shared" si="341"/>
        <v>00</v>
      </c>
      <c r="K1209">
        <v>20150226</v>
      </c>
      <c r="L1209" t="str">
        <f>"014829"</f>
        <v>014829</v>
      </c>
      <c r="M1209" t="str">
        <f>"00577"</f>
        <v>00577</v>
      </c>
      <c r="N1209" t="s">
        <v>251</v>
      </c>
      <c r="O1209">
        <v>63.72</v>
      </c>
      <c r="Q1209" t="s">
        <v>33</v>
      </c>
      <c r="R1209" t="s">
        <v>34</v>
      </c>
      <c r="S1209" t="s">
        <v>35</v>
      </c>
      <c r="T1209" t="s">
        <v>35</v>
      </c>
      <c r="U1209" t="s">
        <v>34</v>
      </c>
      <c r="V1209" t="str">
        <f>""</f>
        <v/>
      </c>
      <c r="W1209">
        <v>20150225</v>
      </c>
      <c r="X1209" t="s">
        <v>203</v>
      </c>
      <c r="Y1209" t="s">
        <v>253</v>
      </c>
      <c r="Z1209" t="s">
        <v>253</v>
      </c>
      <c r="AA1209">
        <v>0</v>
      </c>
      <c r="AB1209" t="s">
        <v>142</v>
      </c>
      <c r="AC1209" t="s">
        <v>143</v>
      </c>
      <c r="AD1209" t="s">
        <v>40</v>
      </c>
      <c r="AE1209" t="str">
        <f t="shared" si="357"/>
        <v>02</v>
      </c>
      <c r="AF1209" t="s">
        <v>40</v>
      </c>
    </row>
    <row r="1210" spans="1:32" x14ac:dyDescent="0.25">
      <c r="A1210">
        <v>5</v>
      </c>
      <c r="B1210">
        <v>420</v>
      </c>
      <c r="C1210" t="str">
        <f>"51"</f>
        <v>51</v>
      </c>
      <c r="D1210">
        <v>6259</v>
      </c>
      <c r="E1210" t="str">
        <f>"54"</f>
        <v>54</v>
      </c>
      <c r="F1210" t="str">
        <f t="shared" si="360"/>
        <v>999</v>
      </c>
      <c r="G1210">
        <v>5</v>
      </c>
      <c r="H1210" t="str">
        <f t="shared" si="361"/>
        <v>99</v>
      </c>
      <c r="I1210" t="str">
        <f t="shared" si="347"/>
        <v>0</v>
      </c>
      <c r="J1210" t="str">
        <f t="shared" si="341"/>
        <v>00</v>
      </c>
      <c r="K1210">
        <v>20150304</v>
      </c>
      <c r="L1210" t="str">
        <f>"014830"</f>
        <v>014830</v>
      </c>
      <c r="M1210" t="str">
        <f>"00030"</f>
        <v>00030</v>
      </c>
      <c r="N1210" t="s">
        <v>215</v>
      </c>
      <c r="O1210">
        <v>277.77</v>
      </c>
      <c r="Q1210" t="s">
        <v>33</v>
      </c>
      <c r="R1210" t="s">
        <v>34</v>
      </c>
      <c r="S1210" t="s">
        <v>35</v>
      </c>
      <c r="T1210" t="s">
        <v>35</v>
      </c>
      <c r="U1210" t="s">
        <v>34</v>
      </c>
      <c r="V1210" t="str">
        <f>""</f>
        <v/>
      </c>
      <c r="W1210">
        <v>20150304</v>
      </c>
      <c r="X1210" t="s">
        <v>216</v>
      </c>
      <c r="Y1210" t="s">
        <v>542</v>
      </c>
      <c r="Z1210" t="s">
        <v>542</v>
      </c>
      <c r="AA1210">
        <v>0</v>
      </c>
      <c r="AB1210" t="s">
        <v>142</v>
      </c>
      <c r="AC1210" t="s">
        <v>143</v>
      </c>
      <c r="AD1210" t="s">
        <v>40</v>
      </c>
      <c r="AE1210" t="str">
        <f t="shared" ref="AE1210:AE1241" si="362">"03"</f>
        <v>03</v>
      </c>
      <c r="AF1210" t="s">
        <v>40</v>
      </c>
    </row>
    <row r="1211" spans="1:32" x14ac:dyDescent="0.25">
      <c r="A1211">
        <v>5</v>
      </c>
      <c r="B1211">
        <v>240</v>
      </c>
      <c r="C1211" t="str">
        <f>"35"</f>
        <v>35</v>
      </c>
      <c r="D1211">
        <v>6299</v>
      </c>
      <c r="E1211" t="str">
        <f>"00"</f>
        <v>00</v>
      </c>
      <c r="F1211" t="str">
        <f t="shared" si="360"/>
        <v>999</v>
      </c>
      <c r="G1211">
        <v>5</v>
      </c>
      <c r="H1211" t="str">
        <f t="shared" si="361"/>
        <v>99</v>
      </c>
      <c r="I1211" t="str">
        <f t="shared" si="347"/>
        <v>0</v>
      </c>
      <c r="J1211" t="str">
        <f t="shared" ref="J1211:J1239" si="363">"00"</f>
        <v>00</v>
      </c>
      <c r="K1211">
        <v>20150304</v>
      </c>
      <c r="L1211" t="str">
        <f>"014831"</f>
        <v>014831</v>
      </c>
      <c r="M1211" t="str">
        <f>"00648"</f>
        <v>00648</v>
      </c>
      <c r="N1211" t="s">
        <v>751</v>
      </c>
      <c r="O1211">
        <v>100.88</v>
      </c>
      <c r="Q1211" t="s">
        <v>33</v>
      </c>
      <c r="R1211" t="s">
        <v>34</v>
      </c>
      <c r="S1211" t="s">
        <v>35</v>
      </c>
      <c r="T1211" t="s">
        <v>35</v>
      </c>
      <c r="U1211" t="s">
        <v>34</v>
      </c>
      <c r="V1211" t="str">
        <f>""</f>
        <v/>
      </c>
      <c r="W1211">
        <v>20150304</v>
      </c>
      <c r="X1211" t="s">
        <v>252</v>
      </c>
      <c r="Y1211" t="s">
        <v>573</v>
      </c>
      <c r="Z1211" t="s">
        <v>573</v>
      </c>
      <c r="AA1211">
        <v>0</v>
      </c>
      <c r="AB1211" t="s">
        <v>238</v>
      </c>
      <c r="AC1211" t="s">
        <v>143</v>
      </c>
      <c r="AD1211" t="s">
        <v>40</v>
      </c>
      <c r="AE1211" t="str">
        <f t="shared" si="362"/>
        <v>03</v>
      </c>
      <c r="AF1211" t="s">
        <v>40</v>
      </c>
    </row>
    <row r="1212" spans="1:32" x14ac:dyDescent="0.25">
      <c r="A1212">
        <v>5</v>
      </c>
      <c r="B1212">
        <v>240</v>
      </c>
      <c r="C1212" t="str">
        <f>"35"</f>
        <v>35</v>
      </c>
      <c r="D1212">
        <v>6299</v>
      </c>
      <c r="E1212" t="str">
        <f>"00"</f>
        <v>00</v>
      </c>
      <c r="F1212" t="str">
        <f t="shared" si="360"/>
        <v>999</v>
      </c>
      <c r="G1212">
        <v>5</v>
      </c>
      <c r="H1212" t="str">
        <f t="shared" si="361"/>
        <v>99</v>
      </c>
      <c r="I1212" t="str">
        <f t="shared" si="347"/>
        <v>0</v>
      </c>
      <c r="J1212" t="str">
        <f t="shared" si="363"/>
        <v>00</v>
      </c>
      <c r="K1212">
        <v>20150304</v>
      </c>
      <c r="L1212" t="str">
        <f>"014831"</f>
        <v>014831</v>
      </c>
      <c r="M1212" t="str">
        <f>"00648"</f>
        <v>00648</v>
      </c>
      <c r="N1212" t="s">
        <v>751</v>
      </c>
      <c r="O1212">
        <v>160.82</v>
      </c>
      <c r="Q1212" t="s">
        <v>33</v>
      </c>
      <c r="R1212" t="s">
        <v>34</v>
      </c>
      <c r="S1212" t="s">
        <v>35</v>
      </c>
      <c r="T1212" t="s">
        <v>35</v>
      </c>
      <c r="U1212" t="s">
        <v>34</v>
      </c>
      <c r="V1212" t="str">
        <f>""</f>
        <v/>
      </c>
      <c r="W1212">
        <v>20150304</v>
      </c>
      <c r="X1212" t="s">
        <v>252</v>
      </c>
      <c r="Y1212" t="s">
        <v>573</v>
      </c>
      <c r="Z1212" t="s">
        <v>573</v>
      </c>
      <c r="AA1212">
        <v>0</v>
      </c>
      <c r="AB1212" t="s">
        <v>238</v>
      </c>
      <c r="AC1212" t="s">
        <v>143</v>
      </c>
      <c r="AD1212" t="s">
        <v>40</v>
      </c>
      <c r="AE1212" t="str">
        <f t="shared" si="362"/>
        <v>03</v>
      </c>
      <c r="AF1212" t="s">
        <v>40</v>
      </c>
    </row>
    <row r="1213" spans="1:32" x14ac:dyDescent="0.25">
      <c r="A1213">
        <v>5</v>
      </c>
      <c r="B1213">
        <v>420</v>
      </c>
      <c r="C1213" t="str">
        <f>"51"</f>
        <v>51</v>
      </c>
      <c r="D1213">
        <v>6219</v>
      </c>
      <c r="E1213" t="str">
        <f>"00"</f>
        <v>00</v>
      </c>
      <c r="F1213" t="str">
        <f t="shared" si="360"/>
        <v>999</v>
      </c>
      <c r="G1213">
        <v>5</v>
      </c>
      <c r="H1213" t="str">
        <f t="shared" si="361"/>
        <v>99</v>
      </c>
      <c r="I1213" t="str">
        <f t="shared" si="347"/>
        <v>0</v>
      </c>
      <c r="J1213" t="str">
        <f t="shared" si="363"/>
        <v>00</v>
      </c>
      <c r="K1213">
        <v>20150304</v>
      </c>
      <c r="L1213" t="str">
        <f>"014832"</f>
        <v>014832</v>
      </c>
      <c r="M1213" t="str">
        <f>"00102"</f>
        <v>00102</v>
      </c>
      <c r="N1213" t="s">
        <v>367</v>
      </c>
      <c r="O1213">
        <v>145</v>
      </c>
      <c r="Q1213" t="s">
        <v>33</v>
      </c>
      <c r="R1213" t="s">
        <v>34</v>
      </c>
      <c r="S1213" t="s">
        <v>35</v>
      </c>
      <c r="T1213" t="s">
        <v>35</v>
      </c>
      <c r="U1213" t="s">
        <v>34</v>
      </c>
      <c r="V1213" t="str">
        <f>""</f>
        <v/>
      </c>
      <c r="W1213">
        <v>20150302</v>
      </c>
      <c r="X1213" t="s">
        <v>183</v>
      </c>
      <c r="Y1213" t="s">
        <v>368</v>
      </c>
      <c r="Z1213" t="s">
        <v>368</v>
      </c>
      <c r="AA1213">
        <v>0</v>
      </c>
      <c r="AB1213" t="s">
        <v>142</v>
      </c>
      <c r="AC1213" t="s">
        <v>143</v>
      </c>
      <c r="AD1213" t="s">
        <v>40</v>
      </c>
      <c r="AE1213" t="str">
        <f t="shared" si="362"/>
        <v>03</v>
      </c>
      <c r="AF1213" t="s">
        <v>40</v>
      </c>
    </row>
    <row r="1214" spans="1:32" x14ac:dyDescent="0.25">
      <c r="A1214">
        <v>5</v>
      </c>
      <c r="B1214">
        <v>263</v>
      </c>
      <c r="C1214" t="str">
        <f>"11"</f>
        <v>11</v>
      </c>
      <c r="D1214">
        <v>6399</v>
      </c>
      <c r="E1214" t="str">
        <f>"00"</f>
        <v>00</v>
      </c>
      <c r="F1214" t="str">
        <f t="shared" si="360"/>
        <v>999</v>
      </c>
      <c r="G1214">
        <v>5</v>
      </c>
      <c r="H1214" t="str">
        <f>"25"</f>
        <v>25</v>
      </c>
      <c r="I1214" t="str">
        <f t="shared" si="347"/>
        <v>0</v>
      </c>
      <c r="J1214" t="str">
        <f t="shared" si="363"/>
        <v>00</v>
      </c>
      <c r="K1214">
        <v>20150304</v>
      </c>
      <c r="L1214" t="str">
        <f>"014833"</f>
        <v>014833</v>
      </c>
      <c r="M1214" t="str">
        <f>"00832"</f>
        <v>00832</v>
      </c>
      <c r="N1214" t="s">
        <v>752</v>
      </c>
      <c r="O1214">
        <v>60.48</v>
      </c>
      <c r="Q1214" t="s">
        <v>33</v>
      </c>
      <c r="R1214" t="s">
        <v>34</v>
      </c>
      <c r="S1214" t="s">
        <v>35</v>
      </c>
      <c r="T1214" t="s">
        <v>35</v>
      </c>
      <c r="U1214" t="s">
        <v>34</v>
      </c>
      <c r="V1214" t="str">
        <f>""</f>
        <v/>
      </c>
      <c r="W1214">
        <v>20150302</v>
      </c>
      <c r="X1214" t="s">
        <v>722</v>
      </c>
      <c r="Y1214" t="s">
        <v>753</v>
      </c>
      <c r="Z1214" t="s">
        <v>753</v>
      </c>
      <c r="AA1214">
        <v>0</v>
      </c>
      <c r="AB1214" t="s">
        <v>197</v>
      </c>
      <c r="AC1214" t="s">
        <v>143</v>
      </c>
      <c r="AD1214" t="s">
        <v>40</v>
      </c>
      <c r="AE1214" t="str">
        <f t="shared" si="362"/>
        <v>03</v>
      </c>
      <c r="AF1214" t="s">
        <v>40</v>
      </c>
    </row>
    <row r="1215" spans="1:32" x14ac:dyDescent="0.25">
      <c r="A1215">
        <v>5</v>
      </c>
      <c r="B1215">
        <v>420</v>
      </c>
      <c r="C1215" t="str">
        <f>"51"</f>
        <v>51</v>
      </c>
      <c r="D1215">
        <v>6259</v>
      </c>
      <c r="E1215" t="str">
        <f>"53"</f>
        <v>53</v>
      </c>
      <c r="F1215" t="str">
        <f t="shared" si="360"/>
        <v>999</v>
      </c>
      <c r="G1215">
        <v>5</v>
      </c>
      <c r="H1215" t="str">
        <f>"99"</f>
        <v>99</v>
      </c>
      <c r="I1215" t="str">
        <f t="shared" si="347"/>
        <v>0</v>
      </c>
      <c r="J1215" t="str">
        <f t="shared" si="363"/>
        <v>00</v>
      </c>
      <c r="K1215">
        <v>20150304</v>
      </c>
      <c r="L1215" t="str">
        <f>"014834"</f>
        <v>014834</v>
      </c>
      <c r="M1215" t="str">
        <f>"00726"</f>
        <v>00726</v>
      </c>
      <c r="N1215" t="s">
        <v>227</v>
      </c>
      <c r="O1215" s="1">
        <v>1536.49</v>
      </c>
      <c r="Q1215" t="s">
        <v>33</v>
      </c>
      <c r="R1215" t="s">
        <v>34</v>
      </c>
      <c r="S1215" t="s">
        <v>35</v>
      </c>
      <c r="T1215" t="s">
        <v>35</v>
      </c>
      <c r="U1215" t="s">
        <v>34</v>
      </c>
      <c r="V1215" t="str">
        <f>""</f>
        <v/>
      </c>
      <c r="W1215">
        <v>20150304</v>
      </c>
      <c r="X1215" t="s">
        <v>228</v>
      </c>
      <c r="Y1215" t="s">
        <v>621</v>
      </c>
      <c r="Z1215" t="s">
        <v>621</v>
      </c>
      <c r="AA1215">
        <v>0</v>
      </c>
      <c r="AB1215" t="s">
        <v>142</v>
      </c>
      <c r="AC1215" t="s">
        <v>143</v>
      </c>
      <c r="AD1215" t="s">
        <v>40</v>
      </c>
      <c r="AE1215" t="str">
        <f t="shared" si="362"/>
        <v>03</v>
      </c>
      <c r="AF1215" t="s">
        <v>40</v>
      </c>
    </row>
    <row r="1216" spans="1:32" x14ac:dyDescent="0.25">
      <c r="A1216">
        <v>5</v>
      </c>
      <c r="B1216">
        <v>420</v>
      </c>
      <c r="C1216" t="str">
        <f>"52"</f>
        <v>52</v>
      </c>
      <c r="D1216">
        <v>6219</v>
      </c>
      <c r="E1216" t="str">
        <f>"00"</f>
        <v>00</v>
      </c>
      <c r="F1216" t="str">
        <f t="shared" si="360"/>
        <v>999</v>
      </c>
      <c r="G1216">
        <v>5</v>
      </c>
      <c r="H1216" t="str">
        <f>"99"</f>
        <v>99</v>
      </c>
      <c r="I1216" t="str">
        <f t="shared" si="347"/>
        <v>0</v>
      </c>
      <c r="J1216" t="str">
        <f t="shared" si="363"/>
        <v>00</v>
      </c>
      <c r="K1216">
        <v>20150304</v>
      </c>
      <c r="L1216" t="str">
        <f>"014835"</f>
        <v>014835</v>
      </c>
      <c r="M1216" t="str">
        <f>"00587"</f>
        <v>00587</v>
      </c>
      <c r="N1216" t="s">
        <v>343</v>
      </c>
      <c r="O1216">
        <v>47.45</v>
      </c>
      <c r="Q1216" t="s">
        <v>33</v>
      </c>
      <c r="R1216" t="s">
        <v>34</v>
      </c>
      <c r="S1216" t="s">
        <v>35</v>
      </c>
      <c r="T1216" t="s">
        <v>35</v>
      </c>
      <c r="U1216" t="s">
        <v>34</v>
      </c>
      <c r="V1216" t="str">
        <f>""</f>
        <v/>
      </c>
      <c r="W1216">
        <v>20150304</v>
      </c>
      <c r="X1216" t="s">
        <v>208</v>
      </c>
      <c r="Y1216" t="s">
        <v>344</v>
      </c>
      <c r="Z1216" t="s">
        <v>344</v>
      </c>
      <c r="AA1216">
        <v>0</v>
      </c>
      <c r="AB1216" t="s">
        <v>142</v>
      </c>
      <c r="AC1216" t="s">
        <v>143</v>
      </c>
      <c r="AD1216" t="s">
        <v>40</v>
      </c>
      <c r="AE1216" t="str">
        <f t="shared" si="362"/>
        <v>03</v>
      </c>
      <c r="AF1216" t="s">
        <v>40</v>
      </c>
    </row>
    <row r="1217" spans="1:32" x14ac:dyDescent="0.25">
      <c r="A1217">
        <v>5</v>
      </c>
      <c r="B1217">
        <v>224</v>
      </c>
      <c r="C1217" t="str">
        <f>"11"</f>
        <v>11</v>
      </c>
      <c r="D1217">
        <v>6399</v>
      </c>
      <c r="E1217" t="str">
        <f>"00"</f>
        <v>00</v>
      </c>
      <c r="F1217" t="str">
        <f t="shared" si="360"/>
        <v>999</v>
      </c>
      <c r="G1217">
        <v>5</v>
      </c>
      <c r="H1217" t="str">
        <f>"23"</f>
        <v>23</v>
      </c>
      <c r="I1217" t="str">
        <f t="shared" si="347"/>
        <v>0</v>
      </c>
      <c r="J1217" t="str">
        <f t="shared" si="363"/>
        <v>00</v>
      </c>
      <c r="K1217">
        <v>20150304</v>
      </c>
      <c r="L1217" t="str">
        <f>"014836"</f>
        <v>014836</v>
      </c>
      <c r="M1217" t="str">
        <f>"00256"</f>
        <v>00256</v>
      </c>
      <c r="N1217" t="s">
        <v>726</v>
      </c>
      <c r="O1217" s="1">
        <v>1413.3</v>
      </c>
      <c r="Q1217" t="s">
        <v>33</v>
      </c>
      <c r="R1217" t="s">
        <v>34</v>
      </c>
      <c r="S1217" t="s">
        <v>35</v>
      </c>
      <c r="T1217" t="s">
        <v>35</v>
      </c>
      <c r="U1217" t="s">
        <v>34</v>
      </c>
      <c r="V1217" t="str">
        <f>""</f>
        <v/>
      </c>
      <c r="W1217">
        <v>20150304</v>
      </c>
      <c r="X1217" t="s">
        <v>727</v>
      </c>
      <c r="Y1217" t="s">
        <v>512</v>
      </c>
      <c r="Z1217" t="s">
        <v>512</v>
      </c>
      <c r="AA1217">
        <v>0</v>
      </c>
      <c r="AB1217" t="s">
        <v>211</v>
      </c>
      <c r="AC1217" t="s">
        <v>143</v>
      </c>
      <c r="AD1217" t="s">
        <v>40</v>
      </c>
      <c r="AE1217" t="str">
        <f t="shared" si="362"/>
        <v>03</v>
      </c>
      <c r="AF1217" t="s">
        <v>40</v>
      </c>
    </row>
    <row r="1218" spans="1:32" x14ac:dyDescent="0.25">
      <c r="A1218">
        <v>5</v>
      </c>
      <c r="B1218">
        <v>420</v>
      </c>
      <c r="C1218" t="str">
        <f>"51"</f>
        <v>51</v>
      </c>
      <c r="D1218">
        <v>6259</v>
      </c>
      <c r="E1218" t="str">
        <f>"55"</f>
        <v>55</v>
      </c>
      <c r="F1218" t="str">
        <f t="shared" si="360"/>
        <v>999</v>
      </c>
      <c r="G1218">
        <v>5</v>
      </c>
      <c r="H1218" t="str">
        <f>"99"</f>
        <v>99</v>
      </c>
      <c r="I1218" t="str">
        <f t="shared" ref="I1218:I1281" si="364">"0"</f>
        <v>0</v>
      </c>
      <c r="J1218" t="str">
        <f t="shared" si="363"/>
        <v>00</v>
      </c>
      <c r="K1218">
        <v>20150304</v>
      </c>
      <c r="L1218" t="str">
        <f>"014837"</f>
        <v>014837</v>
      </c>
      <c r="M1218" t="str">
        <f>"00306"</f>
        <v>00306</v>
      </c>
      <c r="N1218" t="s">
        <v>754</v>
      </c>
      <c r="O1218">
        <v>120.62</v>
      </c>
      <c r="Q1218" t="s">
        <v>33</v>
      </c>
      <c r="R1218" t="s">
        <v>34</v>
      </c>
      <c r="S1218" t="s">
        <v>35</v>
      </c>
      <c r="T1218" t="s">
        <v>35</v>
      </c>
      <c r="U1218" t="s">
        <v>34</v>
      </c>
      <c r="V1218" t="str">
        <f>""</f>
        <v/>
      </c>
      <c r="W1218">
        <v>20150304</v>
      </c>
      <c r="X1218" t="s">
        <v>243</v>
      </c>
      <c r="Y1218" t="s">
        <v>244</v>
      </c>
      <c r="Z1218" t="s">
        <v>244</v>
      </c>
      <c r="AA1218">
        <v>0</v>
      </c>
      <c r="AB1218" t="s">
        <v>142</v>
      </c>
      <c r="AC1218" t="s">
        <v>143</v>
      </c>
      <c r="AD1218" t="s">
        <v>40</v>
      </c>
      <c r="AE1218" t="str">
        <f t="shared" si="362"/>
        <v>03</v>
      </c>
      <c r="AF1218" t="s">
        <v>40</v>
      </c>
    </row>
    <row r="1219" spans="1:32" x14ac:dyDescent="0.25">
      <c r="A1219">
        <v>5</v>
      </c>
      <c r="B1219">
        <v>420</v>
      </c>
      <c r="C1219" t="str">
        <f>"51"</f>
        <v>51</v>
      </c>
      <c r="D1219">
        <v>6259</v>
      </c>
      <c r="E1219" t="str">
        <f>"55"</f>
        <v>55</v>
      </c>
      <c r="F1219" t="str">
        <f t="shared" si="360"/>
        <v>999</v>
      </c>
      <c r="G1219">
        <v>5</v>
      </c>
      <c r="H1219" t="str">
        <f>"99"</f>
        <v>99</v>
      </c>
      <c r="I1219" t="str">
        <f t="shared" si="364"/>
        <v>0</v>
      </c>
      <c r="J1219" t="str">
        <f t="shared" si="363"/>
        <v>00</v>
      </c>
      <c r="K1219">
        <v>20150304</v>
      </c>
      <c r="L1219" t="str">
        <f>"014837"</f>
        <v>014837</v>
      </c>
      <c r="M1219" t="str">
        <f>"00306"</f>
        <v>00306</v>
      </c>
      <c r="N1219" t="s">
        <v>754</v>
      </c>
      <c r="O1219">
        <v>51.98</v>
      </c>
      <c r="Q1219" t="s">
        <v>33</v>
      </c>
      <c r="R1219" t="s">
        <v>34</v>
      </c>
      <c r="S1219" t="s">
        <v>35</v>
      </c>
      <c r="T1219" t="s">
        <v>35</v>
      </c>
      <c r="U1219" t="s">
        <v>34</v>
      </c>
      <c r="V1219" t="str">
        <f>""</f>
        <v/>
      </c>
      <c r="W1219">
        <v>20150304</v>
      </c>
      <c r="X1219" t="s">
        <v>243</v>
      </c>
      <c r="Y1219" t="s">
        <v>244</v>
      </c>
      <c r="Z1219" t="s">
        <v>244</v>
      </c>
      <c r="AA1219">
        <v>0</v>
      </c>
      <c r="AB1219" t="s">
        <v>142</v>
      </c>
      <c r="AC1219" t="s">
        <v>143</v>
      </c>
      <c r="AD1219" t="s">
        <v>40</v>
      </c>
      <c r="AE1219" t="str">
        <f t="shared" si="362"/>
        <v>03</v>
      </c>
      <c r="AF1219" t="s">
        <v>40</v>
      </c>
    </row>
    <row r="1220" spans="1:32" x14ac:dyDescent="0.25">
      <c r="A1220">
        <v>5</v>
      </c>
      <c r="B1220">
        <v>420</v>
      </c>
      <c r="C1220" t="str">
        <f>"51"</f>
        <v>51</v>
      </c>
      <c r="D1220">
        <v>6259</v>
      </c>
      <c r="E1220" t="str">
        <f>"55"</f>
        <v>55</v>
      </c>
      <c r="F1220" t="str">
        <f t="shared" si="360"/>
        <v>999</v>
      </c>
      <c r="G1220">
        <v>5</v>
      </c>
      <c r="H1220" t="str">
        <f>"99"</f>
        <v>99</v>
      </c>
      <c r="I1220" t="str">
        <f t="shared" si="364"/>
        <v>0</v>
      </c>
      <c r="J1220" t="str">
        <f t="shared" si="363"/>
        <v>00</v>
      </c>
      <c r="K1220">
        <v>20150304</v>
      </c>
      <c r="L1220" t="str">
        <f>"014837"</f>
        <v>014837</v>
      </c>
      <c r="M1220" t="str">
        <f>"00306"</f>
        <v>00306</v>
      </c>
      <c r="N1220" t="s">
        <v>754</v>
      </c>
      <c r="O1220">
        <v>194.66</v>
      </c>
      <c r="Q1220" t="s">
        <v>33</v>
      </c>
      <c r="R1220" t="s">
        <v>34</v>
      </c>
      <c r="S1220" t="s">
        <v>35</v>
      </c>
      <c r="T1220" t="s">
        <v>35</v>
      </c>
      <c r="U1220" t="s">
        <v>34</v>
      </c>
      <c r="V1220" t="str">
        <f>""</f>
        <v/>
      </c>
      <c r="W1220">
        <v>20150304</v>
      </c>
      <c r="X1220" t="s">
        <v>243</v>
      </c>
      <c r="Y1220" t="s">
        <v>244</v>
      </c>
      <c r="Z1220" t="s">
        <v>244</v>
      </c>
      <c r="AA1220">
        <v>0</v>
      </c>
      <c r="AB1220" t="s">
        <v>142</v>
      </c>
      <c r="AC1220" t="s">
        <v>143</v>
      </c>
      <c r="AD1220" t="s">
        <v>40</v>
      </c>
      <c r="AE1220" t="str">
        <f t="shared" si="362"/>
        <v>03</v>
      </c>
      <c r="AF1220" t="s">
        <v>40</v>
      </c>
    </row>
    <row r="1221" spans="1:32" x14ac:dyDescent="0.25">
      <c r="A1221">
        <v>5</v>
      </c>
      <c r="B1221">
        <v>420</v>
      </c>
      <c r="C1221" t="str">
        <f>"34"</f>
        <v>34</v>
      </c>
      <c r="D1221">
        <v>6249</v>
      </c>
      <c r="E1221" t="str">
        <f t="shared" ref="E1221:E1232" si="365">"00"</f>
        <v>00</v>
      </c>
      <c r="F1221" t="str">
        <f t="shared" si="360"/>
        <v>999</v>
      </c>
      <c r="G1221">
        <v>5</v>
      </c>
      <c r="H1221" t="str">
        <f>"99"</f>
        <v>99</v>
      </c>
      <c r="I1221" t="str">
        <f t="shared" si="364"/>
        <v>0</v>
      </c>
      <c r="J1221" t="str">
        <f t="shared" si="363"/>
        <v>00</v>
      </c>
      <c r="K1221">
        <v>20150304</v>
      </c>
      <c r="L1221" t="str">
        <f>"014838"</f>
        <v>014838</v>
      </c>
      <c r="M1221" t="str">
        <f>"00554"</f>
        <v>00554</v>
      </c>
      <c r="N1221" t="s">
        <v>483</v>
      </c>
      <c r="O1221">
        <v>24.63</v>
      </c>
      <c r="Q1221" t="s">
        <v>33</v>
      </c>
      <c r="R1221" t="s">
        <v>34</v>
      </c>
      <c r="S1221" t="s">
        <v>35</v>
      </c>
      <c r="T1221" t="s">
        <v>35</v>
      </c>
      <c r="U1221" t="s">
        <v>34</v>
      </c>
      <c r="V1221" t="str">
        <f>""</f>
        <v/>
      </c>
      <c r="W1221">
        <v>20150302</v>
      </c>
      <c r="X1221" t="s">
        <v>484</v>
      </c>
      <c r="Y1221" t="s">
        <v>755</v>
      </c>
      <c r="Z1221" t="s">
        <v>755</v>
      </c>
      <c r="AA1221">
        <v>0</v>
      </c>
      <c r="AB1221" t="s">
        <v>142</v>
      </c>
      <c r="AC1221" t="s">
        <v>143</v>
      </c>
      <c r="AD1221" t="s">
        <v>40</v>
      </c>
      <c r="AE1221" t="str">
        <f t="shared" si="362"/>
        <v>03</v>
      </c>
      <c r="AF1221" t="s">
        <v>40</v>
      </c>
    </row>
    <row r="1222" spans="1:32" x14ac:dyDescent="0.25">
      <c r="A1222">
        <v>5</v>
      </c>
      <c r="B1222">
        <v>420</v>
      </c>
      <c r="C1222" t="str">
        <f>"11"</f>
        <v>11</v>
      </c>
      <c r="D1222">
        <v>6339</v>
      </c>
      <c r="E1222" t="str">
        <f t="shared" si="365"/>
        <v>00</v>
      </c>
      <c r="F1222" t="str">
        <f>"001"</f>
        <v>001</v>
      </c>
      <c r="G1222">
        <v>5</v>
      </c>
      <c r="H1222" t="str">
        <f>"11"</f>
        <v>11</v>
      </c>
      <c r="I1222" t="str">
        <f t="shared" si="364"/>
        <v>0</v>
      </c>
      <c r="J1222" t="str">
        <f t="shared" si="363"/>
        <v>00</v>
      </c>
      <c r="K1222">
        <v>20150304</v>
      </c>
      <c r="L1222" t="str">
        <f>"014839"</f>
        <v>014839</v>
      </c>
      <c r="M1222" t="str">
        <f>"00701"</f>
        <v>00701</v>
      </c>
      <c r="N1222" t="s">
        <v>120</v>
      </c>
      <c r="O1222">
        <v>41.2</v>
      </c>
      <c r="Q1222" t="s">
        <v>33</v>
      </c>
      <c r="R1222" t="s">
        <v>34</v>
      </c>
      <c r="S1222" t="s">
        <v>35</v>
      </c>
      <c r="T1222" t="s">
        <v>35</v>
      </c>
      <c r="U1222" t="s">
        <v>34</v>
      </c>
      <c r="V1222" t="str">
        <f>""</f>
        <v/>
      </c>
      <c r="W1222">
        <v>20150304</v>
      </c>
      <c r="X1222" t="s">
        <v>662</v>
      </c>
      <c r="Y1222" t="s">
        <v>756</v>
      </c>
      <c r="Z1222" t="s">
        <v>756</v>
      </c>
      <c r="AA1222">
        <v>0</v>
      </c>
      <c r="AB1222" t="s">
        <v>142</v>
      </c>
      <c r="AC1222" t="s">
        <v>41</v>
      </c>
      <c r="AD1222" t="s">
        <v>40</v>
      </c>
      <c r="AE1222" t="str">
        <f t="shared" si="362"/>
        <v>03</v>
      </c>
      <c r="AF1222" t="s">
        <v>40</v>
      </c>
    </row>
    <row r="1223" spans="1:32" x14ac:dyDescent="0.25">
      <c r="A1223">
        <v>5</v>
      </c>
      <c r="B1223">
        <v>420</v>
      </c>
      <c r="C1223" t="str">
        <f>"11"</f>
        <v>11</v>
      </c>
      <c r="D1223">
        <v>6339</v>
      </c>
      <c r="E1223" t="str">
        <f t="shared" si="365"/>
        <v>00</v>
      </c>
      <c r="F1223" t="str">
        <f>"001"</f>
        <v>001</v>
      </c>
      <c r="G1223">
        <v>5</v>
      </c>
      <c r="H1223" t="str">
        <f>"11"</f>
        <v>11</v>
      </c>
      <c r="I1223" t="str">
        <f t="shared" si="364"/>
        <v>0</v>
      </c>
      <c r="J1223" t="str">
        <f t="shared" si="363"/>
        <v>00</v>
      </c>
      <c r="K1223">
        <v>20150304</v>
      </c>
      <c r="L1223" t="str">
        <f>"014839"</f>
        <v>014839</v>
      </c>
      <c r="M1223" t="str">
        <f>"00701"</f>
        <v>00701</v>
      </c>
      <c r="N1223" t="s">
        <v>120</v>
      </c>
      <c r="O1223">
        <v>21.36</v>
      </c>
      <c r="Q1223" t="s">
        <v>33</v>
      </c>
      <c r="R1223" t="s">
        <v>34</v>
      </c>
      <c r="S1223" t="s">
        <v>35</v>
      </c>
      <c r="T1223" t="s">
        <v>35</v>
      </c>
      <c r="U1223" t="s">
        <v>34</v>
      </c>
      <c r="V1223" t="str">
        <f>""</f>
        <v/>
      </c>
      <c r="W1223">
        <v>20150304</v>
      </c>
      <c r="X1223" t="s">
        <v>662</v>
      </c>
      <c r="Y1223" t="s">
        <v>756</v>
      </c>
      <c r="Z1223" t="s">
        <v>756</v>
      </c>
      <c r="AA1223">
        <v>0</v>
      </c>
      <c r="AB1223" t="s">
        <v>142</v>
      </c>
      <c r="AC1223" t="s">
        <v>41</v>
      </c>
      <c r="AD1223" t="s">
        <v>40</v>
      </c>
      <c r="AE1223" t="str">
        <f t="shared" si="362"/>
        <v>03</v>
      </c>
      <c r="AF1223" t="s">
        <v>40</v>
      </c>
    </row>
    <row r="1224" spans="1:32" x14ac:dyDescent="0.25">
      <c r="A1224">
        <v>5</v>
      </c>
      <c r="B1224">
        <v>420</v>
      </c>
      <c r="C1224" t="str">
        <f>"11"</f>
        <v>11</v>
      </c>
      <c r="D1224">
        <v>6399</v>
      </c>
      <c r="E1224" t="str">
        <f t="shared" si="365"/>
        <v>00</v>
      </c>
      <c r="F1224" t="str">
        <f>"001"</f>
        <v>001</v>
      </c>
      <c r="G1224">
        <v>5</v>
      </c>
      <c r="H1224" t="str">
        <f>"11"</f>
        <v>11</v>
      </c>
      <c r="I1224" t="str">
        <f t="shared" si="364"/>
        <v>0</v>
      </c>
      <c r="J1224" t="str">
        <f t="shared" si="363"/>
        <v>00</v>
      </c>
      <c r="K1224">
        <v>20150304</v>
      </c>
      <c r="L1224" t="str">
        <f>"014839"</f>
        <v>014839</v>
      </c>
      <c r="M1224" t="str">
        <f>"00701"</f>
        <v>00701</v>
      </c>
      <c r="N1224" t="s">
        <v>120</v>
      </c>
      <c r="O1224">
        <v>61.18</v>
      </c>
      <c r="Q1224" t="s">
        <v>33</v>
      </c>
      <c r="R1224" t="s">
        <v>34</v>
      </c>
      <c r="S1224" t="s">
        <v>35</v>
      </c>
      <c r="T1224" t="s">
        <v>35</v>
      </c>
      <c r="U1224" t="s">
        <v>34</v>
      </c>
      <c r="V1224" t="str">
        <f>""</f>
        <v/>
      </c>
      <c r="W1224">
        <v>20150304</v>
      </c>
      <c r="X1224" t="s">
        <v>239</v>
      </c>
      <c r="Y1224" t="s">
        <v>663</v>
      </c>
      <c r="Z1224" t="s">
        <v>663</v>
      </c>
      <c r="AA1224">
        <v>0</v>
      </c>
      <c r="AB1224" t="s">
        <v>142</v>
      </c>
      <c r="AC1224" t="s">
        <v>41</v>
      </c>
      <c r="AD1224" t="s">
        <v>40</v>
      </c>
      <c r="AE1224" t="str">
        <f t="shared" si="362"/>
        <v>03</v>
      </c>
      <c r="AF1224" t="s">
        <v>40</v>
      </c>
    </row>
    <row r="1225" spans="1:32" x14ac:dyDescent="0.25">
      <c r="A1225">
        <v>5</v>
      </c>
      <c r="B1225">
        <v>420</v>
      </c>
      <c r="C1225" t="str">
        <f>"11"</f>
        <v>11</v>
      </c>
      <c r="D1225">
        <v>6399</v>
      </c>
      <c r="E1225" t="str">
        <f t="shared" si="365"/>
        <v>00</v>
      </c>
      <c r="F1225" t="str">
        <f>"041"</f>
        <v>041</v>
      </c>
      <c r="G1225">
        <v>5</v>
      </c>
      <c r="H1225" t="str">
        <f>"11"</f>
        <v>11</v>
      </c>
      <c r="I1225" t="str">
        <f t="shared" si="364"/>
        <v>0</v>
      </c>
      <c r="J1225" t="str">
        <f t="shared" si="363"/>
        <v>00</v>
      </c>
      <c r="K1225">
        <v>20150304</v>
      </c>
      <c r="L1225" t="str">
        <f>"014839"</f>
        <v>014839</v>
      </c>
      <c r="M1225" t="str">
        <f>"00701"</f>
        <v>00701</v>
      </c>
      <c r="N1225" t="s">
        <v>120</v>
      </c>
      <c r="O1225">
        <v>61.18</v>
      </c>
      <c r="Q1225" t="s">
        <v>33</v>
      </c>
      <c r="R1225" t="s">
        <v>34</v>
      </c>
      <c r="S1225" t="s">
        <v>35</v>
      </c>
      <c r="T1225" t="s">
        <v>35</v>
      </c>
      <c r="U1225" t="s">
        <v>34</v>
      </c>
      <c r="V1225" t="str">
        <f>""</f>
        <v/>
      </c>
      <c r="W1225">
        <v>20150304</v>
      </c>
      <c r="X1225" t="s">
        <v>241</v>
      </c>
      <c r="Y1225" t="s">
        <v>663</v>
      </c>
      <c r="Z1225" t="s">
        <v>663</v>
      </c>
      <c r="AA1225">
        <v>0</v>
      </c>
      <c r="AB1225" t="s">
        <v>142</v>
      </c>
      <c r="AC1225" t="s">
        <v>41</v>
      </c>
      <c r="AD1225" t="s">
        <v>40</v>
      </c>
      <c r="AE1225" t="str">
        <f t="shared" si="362"/>
        <v>03</v>
      </c>
      <c r="AF1225" t="s">
        <v>40</v>
      </c>
    </row>
    <row r="1226" spans="1:32" x14ac:dyDescent="0.25">
      <c r="A1226">
        <v>5</v>
      </c>
      <c r="B1226">
        <v>420</v>
      </c>
      <c r="C1226" t="str">
        <f>"11"</f>
        <v>11</v>
      </c>
      <c r="D1226">
        <v>6399</v>
      </c>
      <c r="E1226" t="str">
        <f t="shared" si="365"/>
        <v>00</v>
      </c>
      <c r="F1226" t="str">
        <f>"101"</f>
        <v>101</v>
      </c>
      <c r="G1226">
        <v>5</v>
      </c>
      <c r="H1226" t="str">
        <f>"11"</f>
        <v>11</v>
      </c>
      <c r="I1226" t="str">
        <f t="shared" si="364"/>
        <v>0</v>
      </c>
      <c r="J1226" t="str">
        <f t="shared" si="363"/>
        <v>00</v>
      </c>
      <c r="K1226">
        <v>20150304</v>
      </c>
      <c r="L1226" t="str">
        <f>"014839"</f>
        <v>014839</v>
      </c>
      <c r="M1226" t="str">
        <f>"00701"</f>
        <v>00701</v>
      </c>
      <c r="N1226" t="s">
        <v>120</v>
      </c>
      <c r="O1226">
        <v>260.02999999999997</v>
      </c>
      <c r="Q1226" t="s">
        <v>33</v>
      </c>
      <c r="R1226" t="s">
        <v>34</v>
      </c>
      <c r="S1226" t="s">
        <v>35</v>
      </c>
      <c r="T1226" t="s">
        <v>35</v>
      </c>
      <c r="U1226" t="s">
        <v>34</v>
      </c>
      <c r="V1226" t="str">
        <f>""</f>
        <v/>
      </c>
      <c r="W1226">
        <v>20150304</v>
      </c>
      <c r="X1226" t="s">
        <v>246</v>
      </c>
      <c r="Y1226" t="s">
        <v>663</v>
      </c>
      <c r="Z1226" t="s">
        <v>663</v>
      </c>
      <c r="AA1226">
        <v>0</v>
      </c>
      <c r="AB1226" t="s">
        <v>142</v>
      </c>
      <c r="AC1226" t="s">
        <v>41</v>
      </c>
      <c r="AD1226" t="s">
        <v>40</v>
      </c>
      <c r="AE1226" t="str">
        <f t="shared" si="362"/>
        <v>03</v>
      </c>
      <c r="AF1226" t="s">
        <v>40</v>
      </c>
    </row>
    <row r="1227" spans="1:32" x14ac:dyDescent="0.25">
      <c r="A1227">
        <v>5</v>
      </c>
      <c r="B1227">
        <v>420</v>
      </c>
      <c r="C1227" t="str">
        <f>"52"</f>
        <v>52</v>
      </c>
      <c r="D1227">
        <v>6219</v>
      </c>
      <c r="E1227" t="str">
        <f t="shared" si="365"/>
        <v>00</v>
      </c>
      <c r="F1227" t="str">
        <f>"999"</f>
        <v>999</v>
      </c>
      <c r="G1227">
        <v>5</v>
      </c>
      <c r="H1227" t="str">
        <f>"99"</f>
        <v>99</v>
      </c>
      <c r="I1227" t="str">
        <f t="shared" si="364"/>
        <v>0</v>
      </c>
      <c r="J1227" t="str">
        <f t="shared" si="363"/>
        <v>00</v>
      </c>
      <c r="K1227">
        <v>20150304</v>
      </c>
      <c r="L1227" t="str">
        <f>"014840"</f>
        <v>014840</v>
      </c>
      <c r="M1227" t="str">
        <f>"00558"</f>
        <v>00558</v>
      </c>
      <c r="N1227" t="s">
        <v>757</v>
      </c>
      <c r="O1227">
        <v>63</v>
      </c>
      <c r="Q1227" t="s">
        <v>33</v>
      </c>
      <c r="R1227" t="s">
        <v>34</v>
      </c>
      <c r="S1227" t="s">
        <v>35</v>
      </c>
      <c r="T1227" t="s">
        <v>35</v>
      </c>
      <c r="U1227" t="s">
        <v>34</v>
      </c>
      <c r="V1227" t="str">
        <f>""</f>
        <v/>
      </c>
      <c r="W1227">
        <v>20150304</v>
      </c>
      <c r="X1227" t="s">
        <v>208</v>
      </c>
      <c r="Y1227" t="s">
        <v>758</v>
      </c>
      <c r="Z1227" t="s">
        <v>758</v>
      </c>
      <c r="AA1227">
        <v>0</v>
      </c>
      <c r="AB1227" t="s">
        <v>142</v>
      </c>
      <c r="AC1227" t="s">
        <v>143</v>
      </c>
      <c r="AD1227" t="s">
        <v>40</v>
      </c>
      <c r="AE1227" t="str">
        <f t="shared" si="362"/>
        <v>03</v>
      </c>
      <c r="AF1227" t="s">
        <v>40</v>
      </c>
    </row>
    <row r="1228" spans="1:32" x14ac:dyDescent="0.25">
      <c r="A1228">
        <v>5</v>
      </c>
      <c r="B1228">
        <v>240</v>
      </c>
      <c r="C1228" t="str">
        <f>"35"</f>
        <v>35</v>
      </c>
      <c r="D1228">
        <v>6299</v>
      </c>
      <c r="E1228" t="str">
        <f t="shared" si="365"/>
        <v>00</v>
      </c>
      <c r="F1228" t="str">
        <f>"999"</f>
        <v>999</v>
      </c>
      <c r="G1228">
        <v>5</v>
      </c>
      <c r="H1228" t="str">
        <f>"99"</f>
        <v>99</v>
      </c>
      <c r="I1228" t="str">
        <f t="shared" si="364"/>
        <v>0</v>
      </c>
      <c r="J1228" t="str">
        <f t="shared" si="363"/>
        <v>00</v>
      </c>
      <c r="K1228">
        <v>20150304</v>
      </c>
      <c r="L1228" t="str">
        <f>"014841"</f>
        <v>014841</v>
      </c>
      <c r="M1228" t="str">
        <f>"00577"</f>
        <v>00577</v>
      </c>
      <c r="N1228" t="s">
        <v>251</v>
      </c>
      <c r="O1228">
        <v>39.04</v>
      </c>
      <c r="Q1228" t="s">
        <v>33</v>
      </c>
      <c r="R1228" t="s">
        <v>34</v>
      </c>
      <c r="S1228" t="s">
        <v>35</v>
      </c>
      <c r="T1228" t="s">
        <v>35</v>
      </c>
      <c r="U1228" t="s">
        <v>34</v>
      </c>
      <c r="V1228" t="str">
        <f>""</f>
        <v/>
      </c>
      <c r="W1228">
        <v>20150302</v>
      </c>
      <c r="X1228" t="s">
        <v>252</v>
      </c>
      <c r="Y1228" t="s">
        <v>253</v>
      </c>
      <c r="Z1228" t="s">
        <v>253</v>
      </c>
      <c r="AA1228">
        <v>0</v>
      </c>
      <c r="AB1228" t="s">
        <v>238</v>
      </c>
      <c r="AC1228" t="s">
        <v>143</v>
      </c>
      <c r="AD1228" t="s">
        <v>40</v>
      </c>
      <c r="AE1228" t="str">
        <f t="shared" si="362"/>
        <v>03</v>
      </c>
      <c r="AF1228" t="s">
        <v>40</v>
      </c>
    </row>
    <row r="1229" spans="1:32" x14ac:dyDescent="0.25">
      <c r="A1229">
        <v>5</v>
      </c>
      <c r="B1229">
        <v>420</v>
      </c>
      <c r="C1229" t="str">
        <f>"51"</f>
        <v>51</v>
      </c>
      <c r="D1229">
        <v>6299</v>
      </c>
      <c r="E1229" t="str">
        <f t="shared" si="365"/>
        <v>00</v>
      </c>
      <c r="F1229" t="str">
        <f>"999"</f>
        <v>999</v>
      </c>
      <c r="G1229">
        <v>5</v>
      </c>
      <c r="H1229" t="str">
        <f>"99"</f>
        <v>99</v>
      </c>
      <c r="I1229" t="str">
        <f t="shared" si="364"/>
        <v>0</v>
      </c>
      <c r="J1229" t="str">
        <f t="shared" si="363"/>
        <v>00</v>
      </c>
      <c r="K1229">
        <v>20150304</v>
      </c>
      <c r="L1229" t="str">
        <f>"014841"</f>
        <v>014841</v>
      </c>
      <c r="M1229" t="str">
        <f>"00577"</f>
        <v>00577</v>
      </c>
      <c r="N1229" t="s">
        <v>251</v>
      </c>
      <c r="O1229">
        <v>63.72</v>
      </c>
      <c r="Q1229" t="s">
        <v>33</v>
      </c>
      <c r="R1229" t="s">
        <v>34</v>
      </c>
      <c r="S1229" t="s">
        <v>35</v>
      </c>
      <c r="T1229" t="s">
        <v>35</v>
      </c>
      <c r="U1229" t="s">
        <v>34</v>
      </c>
      <c r="V1229" t="str">
        <f>""</f>
        <v/>
      </c>
      <c r="W1229">
        <v>20150304</v>
      </c>
      <c r="X1229" t="s">
        <v>203</v>
      </c>
      <c r="Y1229" t="s">
        <v>253</v>
      </c>
      <c r="Z1229" t="s">
        <v>253</v>
      </c>
      <c r="AA1229">
        <v>0</v>
      </c>
      <c r="AB1229" t="s">
        <v>142</v>
      </c>
      <c r="AC1229" t="s">
        <v>143</v>
      </c>
      <c r="AD1229" t="s">
        <v>40</v>
      </c>
      <c r="AE1229" t="str">
        <f t="shared" si="362"/>
        <v>03</v>
      </c>
      <c r="AF1229" t="s">
        <v>40</v>
      </c>
    </row>
    <row r="1230" spans="1:32" x14ac:dyDescent="0.25">
      <c r="A1230">
        <v>5</v>
      </c>
      <c r="B1230">
        <v>420</v>
      </c>
      <c r="C1230" t="str">
        <f>"11"</f>
        <v>11</v>
      </c>
      <c r="D1230">
        <v>6269</v>
      </c>
      <c r="E1230" t="str">
        <f t="shared" si="365"/>
        <v>00</v>
      </c>
      <c r="F1230" t="str">
        <f>"999"</f>
        <v>999</v>
      </c>
      <c r="G1230">
        <v>5</v>
      </c>
      <c r="H1230" t="str">
        <f>"11"</f>
        <v>11</v>
      </c>
      <c r="I1230" t="str">
        <f t="shared" si="364"/>
        <v>0</v>
      </c>
      <c r="J1230" t="str">
        <f t="shared" si="363"/>
        <v>00</v>
      </c>
      <c r="K1230">
        <v>20150318</v>
      </c>
      <c r="L1230" t="str">
        <f>"014842"</f>
        <v>014842</v>
      </c>
      <c r="M1230" t="str">
        <f>"00628"</f>
        <v>00628</v>
      </c>
      <c r="N1230" t="s">
        <v>212</v>
      </c>
      <c r="O1230">
        <v>579.83000000000004</v>
      </c>
      <c r="Q1230" t="s">
        <v>33</v>
      </c>
      <c r="R1230" t="s">
        <v>34</v>
      </c>
      <c r="S1230" t="s">
        <v>35</v>
      </c>
      <c r="T1230" t="s">
        <v>35</v>
      </c>
      <c r="U1230" t="s">
        <v>34</v>
      </c>
      <c r="V1230" t="str">
        <f>""</f>
        <v/>
      </c>
      <c r="W1230">
        <v>20150318</v>
      </c>
      <c r="X1230" t="s">
        <v>213</v>
      </c>
      <c r="Y1230" t="s">
        <v>214</v>
      </c>
      <c r="Z1230" t="s">
        <v>214</v>
      </c>
      <c r="AA1230">
        <v>0</v>
      </c>
      <c r="AB1230" t="s">
        <v>142</v>
      </c>
      <c r="AC1230" t="s">
        <v>143</v>
      </c>
      <c r="AD1230" t="s">
        <v>40</v>
      </c>
      <c r="AE1230" t="str">
        <f t="shared" si="362"/>
        <v>03</v>
      </c>
      <c r="AF1230" t="s">
        <v>40</v>
      </c>
    </row>
    <row r="1231" spans="1:32" x14ac:dyDescent="0.25">
      <c r="A1231">
        <v>5</v>
      </c>
      <c r="B1231">
        <v>420</v>
      </c>
      <c r="C1231" t="str">
        <f>"52"</f>
        <v>52</v>
      </c>
      <c r="D1231">
        <v>6219</v>
      </c>
      <c r="E1231" t="str">
        <f t="shared" si="365"/>
        <v>00</v>
      </c>
      <c r="F1231" t="str">
        <f>"999"</f>
        <v>999</v>
      </c>
      <c r="G1231">
        <v>5</v>
      </c>
      <c r="H1231" t="str">
        <f>"99"</f>
        <v>99</v>
      </c>
      <c r="I1231" t="str">
        <f t="shared" si="364"/>
        <v>0</v>
      </c>
      <c r="J1231" t="str">
        <f t="shared" si="363"/>
        <v>00</v>
      </c>
      <c r="K1231">
        <v>20150318</v>
      </c>
      <c r="L1231" t="str">
        <f>"014843"</f>
        <v>014843</v>
      </c>
      <c r="M1231" t="str">
        <f>"00392"</f>
        <v>00392</v>
      </c>
      <c r="N1231" t="s">
        <v>218</v>
      </c>
      <c r="O1231">
        <v>35.950000000000003</v>
      </c>
      <c r="Q1231" t="s">
        <v>33</v>
      </c>
      <c r="R1231" t="s">
        <v>34</v>
      </c>
      <c r="S1231" t="s">
        <v>35</v>
      </c>
      <c r="T1231" t="s">
        <v>35</v>
      </c>
      <c r="U1231" t="s">
        <v>34</v>
      </c>
      <c r="V1231" t="str">
        <f>""</f>
        <v/>
      </c>
      <c r="W1231">
        <v>20150318</v>
      </c>
      <c r="X1231" t="s">
        <v>208</v>
      </c>
      <c r="Y1231" t="s">
        <v>219</v>
      </c>
      <c r="Z1231" t="s">
        <v>219</v>
      </c>
      <c r="AA1231">
        <v>0</v>
      </c>
      <c r="AB1231" t="s">
        <v>142</v>
      </c>
      <c r="AC1231" t="s">
        <v>143</v>
      </c>
      <c r="AD1231" t="s">
        <v>40</v>
      </c>
      <c r="AE1231" t="str">
        <f t="shared" si="362"/>
        <v>03</v>
      </c>
      <c r="AF1231" t="s">
        <v>40</v>
      </c>
    </row>
    <row r="1232" spans="1:32" x14ac:dyDescent="0.25">
      <c r="A1232">
        <v>5</v>
      </c>
      <c r="B1232">
        <v>211</v>
      </c>
      <c r="C1232" t="str">
        <f>"11"</f>
        <v>11</v>
      </c>
      <c r="D1232">
        <v>6219</v>
      </c>
      <c r="E1232" t="str">
        <f t="shared" si="365"/>
        <v>00</v>
      </c>
      <c r="F1232" t="str">
        <f>"101"</f>
        <v>101</v>
      </c>
      <c r="G1232">
        <v>5</v>
      </c>
      <c r="H1232" t="str">
        <f>"30"</f>
        <v>30</v>
      </c>
      <c r="I1232" t="str">
        <f t="shared" si="364"/>
        <v>0</v>
      </c>
      <c r="J1232" t="str">
        <f t="shared" si="363"/>
        <v>00</v>
      </c>
      <c r="K1232">
        <v>20150318</v>
      </c>
      <c r="L1232" t="str">
        <f>"014844"</f>
        <v>014844</v>
      </c>
      <c r="M1232" t="str">
        <f>"00803"</f>
        <v>00803</v>
      </c>
      <c r="N1232" t="s">
        <v>744</v>
      </c>
      <c r="O1232">
        <v>806.25</v>
      </c>
      <c r="Q1232" t="s">
        <v>33</v>
      </c>
      <c r="R1232" t="s">
        <v>34</v>
      </c>
      <c r="S1232" t="s">
        <v>35</v>
      </c>
      <c r="T1232" t="s">
        <v>35</v>
      </c>
      <c r="U1232" t="s">
        <v>34</v>
      </c>
      <c r="V1232" t="str">
        <f>""</f>
        <v/>
      </c>
      <c r="W1232">
        <v>20150318</v>
      </c>
      <c r="X1232" t="s">
        <v>181</v>
      </c>
      <c r="Y1232" t="s">
        <v>141</v>
      </c>
      <c r="Z1232" t="s">
        <v>141</v>
      </c>
      <c r="AA1232">
        <v>0</v>
      </c>
      <c r="AB1232" t="s">
        <v>174</v>
      </c>
      <c r="AC1232" t="s">
        <v>41</v>
      </c>
      <c r="AD1232" t="s">
        <v>40</v>
      </c>
      <c r="AE1232" t="str">
        <f t="shared" si="362"/>
        <v>03</v>
      </c>
      <c r="AF1232" t="s">
        <v>40</v>
      </c>
    </row>
    <row r="1233" spans="1:32" x14ac:dyDescent="0.25">
      <c r="A1233">
        <v>5</v>
      </c>
      <c r="B1233">
        <v>420</v>
      </c>
      <c r="C1233" t="str">
        <f>"51"</f>
        <v>51</v>
      </c>
      <c r="D1233">
        <v>6259</v>
      </c>
      <c r="E1233" t="str">
        <f>"55"</f>
        <v>55</v>
      </c>
      <c r="F1233" t="str">
        <f>"999"</f>
        <v>999</v>
      </c>
      <c r="G1233">
        <v>5</v>
      </c>
      <c r="H1233" t="str">
        <f>"99"</f>
        <v>99</v>
      </c>
      <c r="I1233" t="str">
        <f t="shared" si="364"/>
        <v>0</v>
      </c>
      <c r="J1233" t="str">
        <f t="shared" si="363"/>
        <v>00</v>
      </c>
      <c r="K1233">
        <v>20150318</v>
      </c>
      <c r="L1233" t="str">
        <f>"014845"</f>
        <v>014845</v>
      </c>
      <c r="M1233" t="str">
        <f>"00075"</f>
        <v>00075</v>
      </c>
      <c r="N1233" t="s">
        <v>649</v>
      </c>
      <c r="O1233">
        <v>26.54</v>
      </c>
      <c r="Q1233" t="s">
        <v>33</v>
      </c>
      <c r="R1233" t="s">
        <v>34</v>
      </c>
      <c r="S1233" t="s">
        <v>35</v>
      </c>
      <c r="T1233" t="s">
        <v>35</v>
      </c>
      <c r="U1233" t="s">
        <v>34</v>
      </c>
      <c r="V1233" t="str">
        <f>""</f>
        <v/>
      </c>
      <c r="W1233">
        <v>20150318</v>
      </c>
      <c r="X1233" t="s">
        <v>243</v>
      </c>
      <c r="Y1233" t="s">
        <v>244</v>
      </c>
      <c r="Z1233" t="s">
        <v>244</v>
      </c>
      <c r="AA1233">
        <v>0</v>
      </c>
      <c r="AB1233" t="s">
        <v>142</v>
      </c>
      <c r="AC1233" t="s">
        <v>143</v>
      </c>
      <c r="AD1233" t="s">
        <v>40</v>
      </c>
      <c r="AE1233" t="str">
        <f t="shared" si="362"/>
        <v>03</v>
      </c>
      <c r="AF1233" t="s">
        <v>40</v>
      </c>
    </row>
    <row r="1234" spans="1:32" x14ac:dyDescent="0.25">
      <c r="A1234">
        <v>5</v>
      </c>
      <c r="B1234">
        <v>420</v>
      </c>
      <c r="C1234" t="str">
        <f>"51"</f>
        <v>51</v>
      </c>
      <c r="D1234">
        <v>6259</v>
      </c>
      <c r="E1234" t="str">
        <f>"55"</f>
        <v>55</v>
      </c>
      <c r="F1234" t="str">
        <f>"999"</f>
        <v>999</v>
      </c>
      <c r="G1234">
        <v>5</v>
      </c>
      <c r="H1234" t="str">
        <f>"99"</f>
        <v>99</v>
      </c>
      <c r="I1234" t="str">
        <f t="shared" si="364"/>
        <v>0</v>
      </c>
      <c r="J1234" t="str">
        <f t="shared" si="363"/>
        <v>00</v>
      </c>
      <c r="K1234">
        <v>20150318</v>
      </c>
      <c r="L1234" t="str">
        <f>"014845"</f>
        <v>014845</v>
      </c>
      <c r="M1234" t="str">
        <f>"00075"</f>
        <v>00075</v>
      </c>
      <c r="N1234" t="s">
        <v>649</v>
      </c>
      <c r="O1234">
        <v>144.07</v>
      </c>
      <c r="Q1234" t="s">
        <v>33</v>
      </c>
      <c r="R1234" t="s">
        <v>34</v>
      </c>
      <c r="S1234" t="s">
        <v>35</v>
      </c>
      <c r="T1234" t="s">
        <v>35</v>
      </c>
      <c r="U1234" t="s">
        <v>34</v>
      </c>
      <c r="V1234" t="str">
        <f>""</f>
        <v/>
      </c>
      <c r="W1234">
        <v>20150318</v>
      </c>
      <c r="X1234" t="s">
        <v>243</v>
      </c>
      <c r="Y1234" t="s">
        <v>244</v>
      </c>
      <c r="Z1234" t="s">
        <v>244</v>
      </c>
      <c r="AA1234">
        <v>0</v>
      </c>
      <c r="AB1234" t="s">
        <v>142</v>
      </c>
      <c r="AC1234" t="s">
        <v>143</v>
      </c>
      <c r="AD1234" t="s">
        <v>40</v>
      </c>
      <c r="AE1234" t="str">
        <f t="shared" si="362"/>
        <v>03</v>
      </c>
      <c r="AF1234" t="s">
        <v>40</v>
      </c>
    </row>
    <row r="1235" spans="1:32" x14ac:dyDescent="0.25">
      <c r="A1235">
        <v>5</v>
      </c>
      <c r="B1235">
        <v>420</v>
      </c>
      <c r="C1235" t="str">
        <f>"13"</f>
        <v>13</v>
      </c>
      <c r="D1235">
        <v>6399</v>
      </c>
      <c r="E1235" t="str">
        <f>"00"</f>
        <v>00</v>
      </c>
      <c r="F1235" t="str">
        <f>"101"</f>
        <v>101</v>
      </c>
      <c r="G1235">
        <v>5</v>
      </c>
      <c r="H1235" t="str">
        <f>"11"</f>
        <v>11</v>
      </c>
      <c r="I1235" t="str">
        <f t="shared" si="364"/>
        <v>0</v>
      </c>
      <c r="J1235" t="str">
        <f t="shared" si="363"/>
        <v>00</v>
      </c>
      <c r="K1235">
        <v>20150318</v>
      </c>
      <c r="L1235" t="str">
        <f>"014846"</f>
        <v>014846</v>
      </c>
      <c r="M1235" t="str">
        <f>"00156"</f>
        <v>00156</v>
      </c>
      <c r="N1235" t="s">
        <v>511</v>
      </c>
      <c r="O1235">
        <v>100</v>
      </c>
      <c r="Q1235" t="s">
        <v>33</v>
      </c>
      <c r="R1235" t="s">
        <v>34</v>
      </c>
      <c r="S1235" t="s">
        <v>35</v>
      </c>
      <c r="T1235" t="s">
        <v>35</v>
      </c>
      <c r="U1235" t="s">
        <v>34</v>
      </c>
      <c r="V1235" t="str">
        <f>""</f>
        <v/>
      </c>
      <c r="W1235">
        <v>20150304</v>
      </c>
      <c r="X1235" t="s">
        <v>393</v>
      </c>
      <c r="Y1235" t="s">
        <v>759</v>
      </c>
      <c r="Z1235" t="s">
        <v>759</v>
      </c>
      <c r="AA1235">
        <v>0</v>
      </c>
      <c r="AB1235" t="s">
        <v>142</v>
      </c>
      <c r="AC1235" t="s">
        <v>41</v>
      </c>
      <c r="AD1235" t="s">
        <v>40</v>
      </c>
      <c r="AE1235" t="str">
        <f t="shared" si="362"/>
        <v>03</v>
      </c>
      <c r="AF1235" t="s">
        <v>40</v>
      </c>
    </row>
    <row r="1236" spans="1:32" x14ac:dyDescent="0.25">
      <c r="A1236">
        <v>5</v>
      </c>
      <c r="B1236">
        <v>420</v>
      </c>
      <c r="C1236" t="str">
        <f>"11"</f>
        <v>11</v>
      </c>
      <c r="D1236">
        <v>6269</v>
      </c>
      <c r="E1236" t="str">
        <f>"00"</f>
        <v>00</v>
      </c>
      <c r="F1236" t="str">
        <f>"999"</f>
        <v>999</v>
      </c>
      <c r="G1236">
        <v>5</v>
      </c>
      <c r="H1236" t="str">
        <f>"11"</f>
        <v>11</v>
      </c>
      <c r="I1236" t="str">
        <f t="shared" si="364"/>
        <v>0</v>
      </c>
      <c r="J1236" t="str">
        <f t="shared" si="363"/>
        <v>00</v>
      </c>
      <c r="K1236">
        <v>20150318</v>
      </c>
      <c r="L1236" t="str">
        <f>"014847"</f>
        <v>014847</v>
      </c>
      <c r="M1236" t="str">
        <f>"00218"</f>
        <v>00218</v>
      </c>
      <c r="N1236" t="s">
        <v>694</v>
      </c>
      <c r="O1236">
        <v>125.57</v>
      </c>
      <c r="Q1236" t="s">
        <v>33</v>
      </c>
      <c r="R1236" t="s">
        <v>34</v>
      </c>
      <c r="S1236" t="s">
        <v>35</v>
      </c>
      <c r="T1236" t="s">
        <v>35</v>
      </c>
      <c r="U1236" t="s">
        <v>34</v>
      </c>
      <c r="V1236" t="str">
        <f>""</f>
        <v/>
      </c>
      <c r="W1236">
        <v>20150318</v>
      </c>
      <c r="X1236" t="s">
        <v>213</v>
      </c>
      <c r="Y1236" t="s">
        <v>231</v>
      </c>
      <c r="Z1236" t="s">
        <v>231</v>
      </c>
      <c r="AA1236">
        <v>0</v>
      </c>
      <c r="AB1236" t="s">
        <v>142</v>
      </c>
      <c r="AC1236" t="s">
        <v>143</v>
      </c>
      <c r="AD1236" t="s">
        <v>40</v>
      </c>
      <c r="AE1236" t="str">
        <f t="shared" si="362"/>
        <v>03</v>
      </c>
      <c r="AF1236" t="s">
        <v>40</v>
      </c>
    </row>
    <row r="1237" spans="1:32" x14ac:dyDescent="0.25">
      <c r="A1237">
        <v>5</v>
      </c>
      <c r="B1237">
        <v>224</v>
      </c>
      <c r="C1237" t="str">
        <f>"11"</f>
        <v>11</v>
      </c>
      <c r="D1237">
        <v>6399</v>
      </c>
      <c r="E1237" t="str">
        <f>"00"</f>
        <v>00</v>
      </c>
      <c r="F1237" t="str">
        <f>"999"</f>
        <v>999</v>
      </c>
      <c r="G1237">
        <v>5</v>
      </c>
      <c r="H1237" t="str">
        <f>"23"</f>
        <v>23</v>
      </c>
      <c r="I1237" t="str">
        <f t="shared" si="364"/>
        <v>0</v>
      </c>
      <c r="J1237" t="str">
        <f t="shared" si="363"/>
        <v>00</v>
      </c>
      <c r="K1237">
        <v>20150318</v>
      </c>
      <c r="L1237" t="str">
        <f>"014848"</f>
        <v>014848</v>
      </c>
      <c r="M1237" t="str">
        <f>"00256"</f>
        <v>00256</v>
      </c>
      <c r="N1237" t="s">
        <v>726</v>
      </c>
      <c r="O1237">
        <v>198</v>
      </c>
      <c r="Q1237" t="s">
        <v>33</v>
      </c>
      <c r="R1237" t="s">
        <v>34</v>
      </c>
      <c r="S1237" t="s">
        <v>35</v>
      </c>
      <c r="T1237" t="s">
        <v>35</v>
      </c>
      <c r="U1237" t="s">
        <v>34</v>
      </c>
      <c r="V1237" t="str">
        <f>""</f>
        <v/>
      </c>
      <c r="W1237">
        <v>20150318</v>
      </c>
      <c r="X1237" t="s">
        <v>727</v>
      </c>
      <c r="Y1237" t="s">
        <v>512</v>
      </c>
      <c r="Z1237" t="s">
        <v>512</v>
      </c>
      <c r="AA1237">
        <v>0</v>
      </c>
      <c r="AB1237" t="s">
        <v>211</v>
      </c>
      <c r="AC1237" t="s">
        <v>143</v>
      </c>
      <c r="AD1237" t="s">
        <v>40</v>
      </c>
      <c r="AE1237" t="str">
        <f t="shared" si="362"/>
        <v>03</v>
      </c>
      <c r="AF1237" t="s">
        <v>40</v>
      </c>
    </row>
    <row r="1238" spans="1:32" x14ac:dyDescent="0.25">
      <c r="A1238">
        <v>5</v>
      </c>
      <c r="B1238">
        <v>420</v>
      </c>
      <c r="C1238" t="str">
        <f>"51"</f>
        <v>51</v>
      </c>
      <c r="D1238">
        <v>6259</v>
      </c>
      <c r="E1238" t="str">
        <f>"50"</f>
        <v>50</v>
      </c>
      <c r="F1238" t="str">
        <f>"999"</f>
        <v>999</v>
      </c>
      <c r="G1238">
        <v>5</v>
      </c>
      <c r="H1238" t="str">
        <f>"99"</f>
        <v>99</v>
      </c>
      <c r="I1238" t="str">
        <f t="shared" si="364"/>
        <v>0</v>
      </c>
      <c r="J1238" t="str">
        <f t="shared" si="363"/>
        <v>00</v>
      </c>
      <c r="K1238">
        <v>20150318</v>
      </c>
      <c r="L1238" t="str">
        <f>"014849"</f>
        <v>014849</v>
      </c>
      <c r="M1238" t="str">
        <f>"00162"</f>
        <v>00162</v>
      </c>
      <c r="N1238" t="s">
        <v>242</v>
      </c>
      <c r="O1238">
        <v>690.14</v>
      </c>
      <c r="Q1238" t="s">
        <v>33</v>
      </c>
      <c r="R1238" t="s">
        <v>34</v>
      </c>
      <c r="S1238" t="s">
        <v>35</v>
      </c>
      <c r="T1238" t="s">
        <v>35</v>
      </c>
      <c r="U1238" t="s">
        <v>34</v>
      </c>
      <c r="V1238" t="str">
        <f>""</f>
        <v/>
      </c>
      <c r="W1238">
        <v>20150318</v>
      </c>
      <c r="X1238" t="s">
        <v>374</v>
      </c>
      <c r="Y1238" t="s">
        <v>375</v>
      </c>
      <c r="Z1238" t="s">
        <v>375</v>
      </c>
      <c r="AA1238">
        <v>0</v>
      </c>
      <c r="AB1238" t="s">
        <v>142</v>
      </c>
      <c r="AC1238" t="s">
        <v>143</v>
      </c>
      <c r="AD1238" t="s">
        <v>40</v>
      </c>
      <c r="AE1238" t="str">
        <f t="shared" si="362"/>
        <v>03</v>
      </c>
      <c r="AF1238" t="s">
        <v>40</v>
      </c>
    </row>
    <row r="1239" spans="1:32" x14ac:dyDescent="0.25">
      <c r="A1239">
        <v>5</v>
      </c>
      <c r="B1239">
        <v>240</v>
      </c>
      <c r="C1239" t="str">
        <f>"35"</f>
        <v>35</v>
      </c>
      <c r="D1239">
        <v>6341</v>
      </c>
      <c r="E1239" t="str">
        <f t="shared" ref="E1239:E1246" si="366">"00"</f>
        <v>00</v>
      </c>
      <c r="F1239" t="str">
        <f>"999"</f>
        <v>999</v>
      </c>
      <c r="G1239">
        <v>5</v>
      </c>
      <c r="H1239" t="str">
        <f>"99"</f>
        <v>99</v>
      </c>
      <c r="I1239" t="str">
        <f t="shared" si="364"/>
        <v>0</v>
      </c>
      <c r="J1239" t="str">
        <f t="shared" si="363"/>
        <v>00</v>
      </c>
      <c r="K1239">
        <v>20150318</v>
      </c>
      <c r="L1239" t="str">
        <f>"014850"</f>
        <v>014850</v>
      </c>
      <c r="M1239" t="str">
        <f>"00745"</f>
        <v>00745</v>
      </c>
      <c r="N1239" t="s">
        <v>760</v>
      </c>
      <c r="O1239">
        <v>528</v>
      </c>
      <c r="Q1239" t="s">
        <v>33</v>
      </c>
      <c r="R1239" t="s">
        <v>34</v>
      </c>
      <c r="S1239" t="s">
        <v>35</v>
      </c>
      <c r="T1239" t="s">
        <v>35</v>
      </c>
      <c r="U1239" t="s">
        <v>34</v>
      </c>
      <c r="V1239" t="str">
        <f>""</f>
        <v/>
      </c>
      <c r="W1239">
        <v>20150318</v>
      </c>
      <c r="X1239" t="s">
        <v>268</v>
      </c>
      <c r="Y1239" t="s">
        <v>310</v>
      </c>
      <c r="Z1239" t="s">
        <v>310</v>
      </c>
      <c r="AA1239">
        <v>0</v>
      </c>
      <c r="AB1239" t="s">
        <v>238</v>
      </c>
      <c r="AC1239" t="s">
        <v>143</v>
      </c>
      <c r="AD1239" t="s">
        <v>40</v>
      </c>
      <c r="AE1239" t="str">
        <f t="shared" si="362"/>
        <v>03</v>
      </c>
      <c r="AF1239" t="s">
        <v>40</v>
      </c>
    </row>
    <row r="1240" spans="1:32" x14ac:dyDescent="0.25">
      <c r="A1240">
        <v>5</v>
      </c>
      <c r="B1240">
        <v>420</v>
      </c>
      <c r="C1240" t="str">
        <f>"11"</f>
        <v>11</v>
      </c>
      <c r="D1240">
        <v>6399</v>
      </c>
      <c r="E1240" t="str">
        <f t="shared" si="366"/>
        <v>00</v>
      </c>
      <c r="F1240" t="str">
        <f>"001"</f>
        <v>001</v>
      </c>
      <c r="G1240">
        <v>5</v>
      </c>
      <c r="H1240" t="str">
        <f>"11"</f>
        <v>11</v>
      </c>
      <c r="I1240" t="str">
        <f t="shared" si="364"/>
        <v>0</v>
      </c>
      <c r="J1240" t="str">
        <f>"22"</f>
        <v>22</v>
      </c>
      <c r="K1240">
        <v>20150318</v>
      </c>
      <c r="L1240" t="str">
        <f>"014851"</f>
        <v>014851</v>
      </c>
      <c r="M1240" t="str">
        <f>"00701"</f>
        <v>00701</v>
      </c>
      <c r="N1240" t="s">
        <v>120</v>
      </c>
      <c r="O1240">
        <v>25.84</v>
      </c>
      <c r="Q1240" t="s">
        <v>33</v>
      </c>
      <c r="R1240" t="s">
        <v>34</v>
      </c>
      <c r="S1240" t="s">
        <v>35</v>
      </c>
      <c r="T1240" t="s">
        <v>35</v>
      </c>
      <c r="U1240" t="s">
        <v>34</v>
      </c>
      <c r="V1240" t="str">
        <f>""</f>
        <v/>
      </c>
      <c r="W1240">
        <v>20150318</v>
      </c>
      <c r="X1240" t="s">
        <v>507</v>
      </c>
      <c r="Y1240" t="s">
        <v>761</v>
      </c>
      <c r="Z1240" t="s">
        <v>761</v>
      </c>
      <c r="AA1240">
        <v>0</v>
      </c>
      <c r="AB1240" t="s">
        <v>142</v>
      </c>
      <c r="AC1240" t="s">
        <v>41</v>
      </c>
      <c r="AD1240" t="s">
        <v>40</v>
      </c>
      <c r="AE1240" t="str">
        <f t="shared" si="362"/>
        <v>03</v>
      </c>
      <c r="AF1240" t="s">
        <v>40</v>
      </c>
    </row>
    <row r="1241" spans="1:32" x14ac:dyDescent="0.25">
      <c r="A1241">
        <v>5</v>
      </c>
      <c r="B1241">
        <v>420</v>
      </c>
      <c r="C1241" t="str">
        <f>"11"</f>
        <v>11</v>
      </c>
      <c r="D1241">
        <v>6399</v>
      </c>
      <c r="E1241" t="str">
        <f t="shared" si="366"/>
        <v>00</v>
      </c>
      <c r="F1241" t="str">
        <f>"041"</f>
        <v>041</v>
      </c>
      <c r="G1241">
        <v>5</v>
      </c>
      <c r="H1241" t="str">
        <f>"11"</f>
        <v>11</v>
      </c>
      <c r="I1241" t="str">
        <f t="shared" si="364"/>
        <v>0</v>
      </c>
      <c r="J1241" t="str">
        <f>"22"</f>
        <v>22</v>
      </c>
      <c r="K1241">
        <v>20150318</v>
      </c>
      <c r="L1241" t="str">
        <f>"014851"</f>
        <v>014851</v>
      </c>
      <c r="M1241" t="str">
        <f>"00701"</f>
        <v>00701</v>
      </c>
      <c r="N1241" t="s">
        <v>120</v>
      </c>
      <c r="O1241">
        <v>25.84</v>
      </c>
      <c r="Q1241" t="s">
        <v>33</v>
      </c>
      <c r="R1241" t="s">
        <v>34</v>
      </c>
      <c r="S1241" t="s">
        <v>35</v>
      </c>
      <c r="T1241" t="s">
        <v>35</v>
      </c>
      <c r="U1241" t="s">
        <v>34</v>
      </c>
      <c r="V1241" t="str">
        <f>""</f>
        <v/>
      </c>
      <c r="W1241">
        <v>20150318</v>
      </c>
      <c r="X1241" t="s">
        <v>509</v>
      </c>
      <c r="Y1241" t="s">
        <v>761</v>
      </c>
      <c r="Z1241" t="s">
        <v>761</v>
      </c>
      <c r="AA1241">
        <v>0</v>
      </c>
      <c r="AB1241" t="s">
        <v>142</v>
      </c>
      <c r="AC1241" t="s">
        <v>41</v>
      </c>
      <c r="AD1241" t="s">
        <v>40</v>
      </c>
      <c r="AE1241" t="str">
        <f t="shared" si="362"/>
        <v>03</v>
      </c>
      <c r="AF1241" t="s">
        <v>40</v>
      </c>
    </row>
    <row r="1242" spans="1:32" x14ac:dyDescent="0.25">
      <c r="A1242">
        <v>5</v>
      </c>
      <c r="B1242">
        <v>420</v>
      </c>
      <c r="C1242" t="str">
        <f>"11"</f>
        <v>11</v>
      </c>
      <c r="D1242">
        <v>6399</v>
      </c>
      <c r="E1242" t="str">
        <f t="shared" si="366"/>
        <v>00</v>
      </c>
      <c r="F1242" t="str">
        <f>"101"</f>
        <v>101</v>
      </c>
      <c r="G1242">
        <v>5</v>
      </c>
      <c r="H1242" t="str">
        <f>"11"</f>
        <v>11</v>
      </c>
      <c r="I1242" t="str">
        <f t="shared" si="364"/>
        <v>0</v>
      </c>
      <c r="J1242" t="str">
        <f>"22"</f>
        <v>22</v>
      </c>
      <c r="K1242">
        <v>20150318</v>
      </c>
      <c r="L1242" t="str">
        <f>"014851"</f>
        <v>014851</v>
      </c>
      <c r="M1242" t="str">
        <f>"00701"</f>
        <v>00701</v>
      </c>
      <c r="N1242" t="s">
        <v>120</v>
      </c>
      <c r="O1242">
        <v>109.8</v>
      </c>
      <c r="Q1242" t="s">
        <v>33</v>
      </c>
      <c r="R1242" t="s">
        <v>34</v>
      </c>
      <c r="S1242" t="s">
        <v>35</v>
      </c>
      <c r="T1242" t="s">
        <v>35</v>
      </c>
      <c r="U1242" t="s">
        <v>34</v>
      </c>
      <c r="V1242" t="str">
        <f>""</f>
        <v/>
      </c>
      <c r="W1242">
        <v>20150318</v>
      </c>
      <c r="X1242" t="s">
        <v>510</v>
      </c>
      <c r="Y1242" t="s">
        <v>761</v>
      </c>
      <c r="Z1242" t="s">
        <v>761</v>
      </c>
      <c r="AA1242">
        <v>0</v>
      </c>
      <c r="AB1242" t="s">
        <v>142</v>
      </c>
      <c r="AC1242" t="s">
        <v>41</v>
      </c>
      <c r="AD1242" t="s">
        <v>40</v>
      </c>
      <c r="AE1242" t="str">
        <f t="shared" ref="AE1242:AE1273" si="367">"03"</f>
        <v>03</v>
      </c>
      <c r="AF1242" t="s">
        <v>40</v>
      </c>
    </row>
    <row r="1243" spans="1:32" x14ac:dyDescent="0.25">
      <c r="A1243">
        <v>5</v>
      </c>
      <c r="B1243">
        <v>240</v>
      </c>
      <c r="C1243" t="str">
        <f>"35"</f>
        <v>35</v>
      </c>
      <c r="D1243">
        <v>6341</v>
      </c>
      <c r="E1243" t="str">
        <f t="shared" si="366"/>
        <v>00</v>
      </c>
      <c r="F1243" t="str">
        <f t="shared" ref="F1243:F1254" si="368">"999"</f>
        <v>999</v>
      </c>
      <c r="G1243">
        <v>5</v>
      </c>
      <c r="H1243" t="str">
        <f t="shared" ref="H1243:H1254" si="369">"99"</f>
        <v>99</v>
      </c>
      <c r="I1243" t="str">
        <f t="shared" si="364"/>
        <v>0</v>
      </c>
      <c r="J1243" t="str">
        <f t="shared" ref="J1243:J1266" si="370">"00"</f>
        <v>00</v>
      </c>
      <c r="K1243">
        <v>20150318</v>
      </c>
      <c r="L1243" t="str">
        <f>"014852"</f>
        <v>014852</v>
      </c>
      <c r="M1243" t="str">
        <f>"00391"</f>
        <v>00391</v>
      </c>
      <c r="N1243" t="s">
        <v>265</v>
      </c>
      <c r="O1243" s="1">
        <v>1543.64</v>
      </c>
      <c r="Q1243" t="s">
        <v>33</v>
      </c>
      <c r="R1243" t="s">
        <v>34</v>
      </c>
      <c r="S1243" t="s">
        <v>35</v>
      </c>
      <c r="T1243" t="s">
        <v>35</v>
      </c>
      <c r="U1243" t="s">
        <v>34</v>
      </c>
      <c r="V1243" t="str">
        <f>""</f>
        <v/>
      </c>
      <c r="W1243">
        <v>20150318</v>
      </c>
      <c r="X1243" t="s">
        <v>268</v>
      </c>
      <c r="Y1243" t="s">
        <v>310</v>
      </c>
      <c r="Z1243" t="s">
        <v>310</v>
      </c>
      <c r="AA1243">
        <v>0</v>
      </c>
      <c r="AB1243" t="s">
        <v>238</v>
      </c>
      <c r="AC1243" t="s">
        <v>143</v>
      </c>
      <c r="AD1243" t="s">
        <v>40</v>
      </c>
      <c r="AE1243" t="str">
        <f t="shared" si="367"/>
        <v>03</v>
      </c>
      <c r="AF1243" t="s">
        <v>40</v>
      </c>
    </row>
    <row r="1244" spans="1:32" x14ac:dyDescent="0.25">
      <c r="A1244">
        <v>5</v>
      </c>
      <c r="B1244">
        <v>240</v>
      </c>
      <c r="C1244" t="str">
        <f>"35"</f>
        <v>35</v>
      </c>
      <c r="D1244">
        <v>6341</v>
      </c>
      <c r="E1244" t="str">
        <f t="shared" si="366"/>
        <v>00</v>
      </c>
      <c r="F1244" t="str">
        <f t="shared" si="368"/>
        <v>999</v>
      </c>
      <c r="G1244">
        <v>5</v>
      </c>
      <c r="H1244" t="str">
        <f t="shared" si="369"/>
        <v>99</v>
      </c>
      <c r="I1244" t="str">
        <f t="shared" si="364"/>
        <v>0</v>
      </c>
      <c r="J1244" t="str">
        <f t="shared" si="370"/>
        <v>00</v>
      </c>
      <c r="K1244">
        <v>20150318</v>
      </c>
      <c r="L1244" t="str">
        <f>"014852"</f>
        <v>014852</v>
      </c>
      <c r="M1244" t="str">
        <f>"00391"</f>
        <v>00391</v>
      </c>
      <c r="N1244" t="s">
        <v>265</v>
      </c>
      <c r="O1244" s="1">
        <v>1578.7</v>
      </c>
      <c r="Q1244" t="s">
        <v>33</v>
      </c>
      <c r="R1244" t="s">
        <v>34</v>
      </c>
      <c r="S1244" t="s">
        <v>35</v>
      </c>
      <c r="T1244" t="s">
        <v>35</v>
      </c>
      <c r="U1244" t="s">
        <v>34</v>
      </c>
      <c r="V1244" t="str">
        <f>""</f>
        <v/>
      </c>
      <c r="W1244">
        <v>20150318</v>
      </c>
      <c r="X1244" t="s">
        <v>268</v>
      </c>
      <c r="Y1244" t="s">
        <v>310</v>
      </c>
      <c r="Z1244" t="s">
        <v>310</v>
      </c>
      <c r="AA1244">
        <v>0</v>
      </c>
      <c r="AB1244" t="s">
        <v>238</v>
      </c>
      <c r="AC1244" t="s">
        <v>143</v>
      </c>
      <c r="AD1244" t="s">
        <v>40</v>
      </c>
      <c r="AE1244" t="str">
        <f t="shared" si="367"/>
        <v>03</v>
      </c>
      <c r="AF1244" t="s">
        <v>40</v>
      </c>
    </row>
    <row r="1245" spans="1:32" x14ac:dyDescent="0.25">
      <c r="A1245">
        <v>5</v>
      </c>
      <c r="B1245">
        <v>240</v>
      </c>
      <c r="C1245" t="str">
        <f>"35"</f>
        <v>35</v>
      </c>
      <c r="D1245">
        <v>6341</v>
      </c>
      <c r="E1245" t="str">
        <f t="shared" si="366"/>
        <v>00</v>
      </c>
      <c r="F1245" t="str">
        <f t="shared" si="368"/>
        <v>999</v>
      </c>
      <c r="G1245">
        <v>5</v>
      </c>
      <c r="H1245" t="str">
        <f t="shared" si="369"/>
        <v>99</v>
      </c>
      <c r="I1245" t="str">
        <f t="shared" si="364"/>
        <v>0</v>
      </c>
      <c r="J1245" t="str">
        <f t="shared" si="370"/>
        <v>00</v>
      </c>
      <c r="K1245">
        <v>20150318</v>
      </c>
      <c r="L1245" t="str">
        <f>"014852"</f>
        <v>014852</v>
      </c>
      <c r="M1245" t="str">
        <f>"00391"</f>
        <v>00391</v>
      </c>
      <c r="N1245" t="s">
        <v>265</v>
      </c>
      <c r="O1245">
        <v>32.67</v>
      </c>
      <c r="Q1245" t="s">
        <v>33</v>
      </c>
      <c r="R1245" t="s">
        <v>34</v>
      </c>
      <c r="S1245" t="s">
        <v>35</v>
      </c>
      <c r="T1245" t="s">
        <v>35</v>
      </c>
      <c r="U1245" t="s">
        <v>34</v>
      </c>
      <c r="V1245" t="str">
        <f>""</f>
        <v/>
      </c>
      <c r="W1245">
        <v>20150318</v>
      </c>
      <c r="X1245" t="s">
        <v>268</v>
      </c>
      <c r="Y1245" t="s">
        <v>310</v>
      </c>
      <c r="Z1245" t="s">
        <v>310</v>
      </c>
      <c r="AA1245">
        <v>0</v>
      </c>
      <c r="AB1245" t="s">
        <v>238</v>
      </c>
      <c r="AC1245" t="s">
        <v>143</v>
      </c>
      <c r="AD1245" t="s">
        <v>40</v>
      </c>
      <c r="AE1245" t="str">
        <f t="shared" si="367"/>
        <v>03</v>
      </c>
      <c r="AF1245" t="s">
        <v>40</v>
      </c>
    </row>
    <row r="1246" spans="1:32" x14ac:dyDescent="0.25">
      <c r="A1246">
        <v>5</v>
      </c>
      <c r="B1246">
        <v>240</v>
      </c>
      <c r="C1246" t="str">
        <f>"51"</f>
        <v>51</v>
      </c>
      <c r="D1246">
        <v>6319</v>
      </c>
      <c r="E1246" t="str">
        <f t="shared" si="366"/>
        <v>00</v>
      </c>
      <c r="F1246" t="str">
        <f t="shared" si="368"/>
        <v>999</v>
      </c>
      <c r="G1246">
        <v>5</v>
      </c>
      <c r="H1246" t="str">
        <f t="shared" si="369"/>
        <v>99</v>
      </c>
      <c r="I1246" t="str">
        <f t="shared" si="364"/>
        <v>0</v>
      </c>
      <c r="J1246" t="str">
        <f t="shared" si="370"/>
        <v>00</v>
      </c>
      <c r="K1246">
        <v>20150318</v>
      </c>
      <c r="L1246" t="str">
        <f>"014852"</f>
        <v>014852</v>
      </c>
      <c r="M1246" t="str">
        <f>"00391"</f>
        <v>00391</v>
      </c>
      <c r="N1246" t="s">
        <v>265</v>
      </c>
      <c r="O1246">
        <v>37.97</v>
      </c>
      <c r="Q1246" t="s">
        <v>33</v>
      </c>
      <c r="R1246" t="s">
        <v>34</v>
      </c>
      <c r="S1246" t="s">
        <v>35</v>
      </c>
      <c r="T1246" t="s">
        <v>35</v>
      </c>
      <c r="U1246" t="s">
        <v>34</v>
      </c>
      <c r="V1246" t="str">
        <f>""</f>
        <v/>
      </c>
      <c r="W1246">
        <v>20150318</v>
      </c>
      <c r="X1246" t="s">
        <v>350</v>
      </c>
      <c r="Y1246" t="s">
        <v>310</v>
      </c>
      <c r="Z1246" t="s">
        <v>310</v>
      </c>
      <c r="AA1246">
        <v>0</v>
      </c>
      <c r="AB1246" t="s">
        <v>238</v>
      </c>
      <c r="AC1246" t="s">
        <v>143</v>
      </c>
      <c r="AD1246" t="s">
        <v>40</v>
      </c>
      <c r="AE1246" t="str">
        <f t="shared" si="367"/>
        <v>03</v>
      </c>
      <c r="AF1246" t="s">
        <v>40</v>
      </c>
    </row>
    <row r="1247" spans="1:32" x14ac:dyDescent="0.25">
      <c r="A1247">
        <v>5</v>
      </c>
      <c r="B1247">
        <v>420</v>
      </c>
      <c r="C1247" t="str">
        <f>"51"</f>
        <v>51</v>
      </c>
      <c r="D1247">
        <v>6259</v>
      </c>
      <c r="E1247" t="str">
        <f>"54"</f>
        <v>54</v>
      </c>
      <c r="F1247" t="str">
        <f t="shared" si="368"/>
        <v>999</v>
      </c>
      <c r="G1247">
        <v>5</v>
      </c>
      <c r="H1247" t="str">
        <f t="shared" si="369"/>
        <v>99</v>
      </c>
      <c r="I1247" t="str">
        <f t="shared" si="364"/>
        <v>0</v>
      </c>
      <c r="J1247" t="str">
        <f t="shared" si="370"/>
        <v>00</v>
      </c>
      <c r="K1247">
        <v>20150318</v>
      </c>
      <c r="L1247" t="str">
        <f>"014853"</f>
        <v>014853</v>
      </c>
      <c r="M1247" t="str">
        <f>"00581"</f>
        <v>00581</v>
      </c>
      <c r="N1247" t="s">
        <v>248</v>
      </c>
      <c r="O1247">
        <v>485.09</v>
      </c>
      <c r="Q1247" t="s">
        <v>33</v>
      </c>
      <c r="R1247" t="s">
        <v>34</v>
      </c>
      <c r="S1247" t="s">
        <v>35</v>
      </c>
      <c r="T1247" t="s">
        <v>35</v>
      </c>
      <c r="U1247" t="s">
        <v>34</v>
      </c>
      <c r="V1247" t="str">
        <f>""</f>
        <v/>
      </c>
      <c r="W1247">
        <v>20150318</v>
      </c>
      <c r="X1247" t="s">
        <v>216</v>
      </c>
      <c r="Y1247" t="s">
        <v>217</v>
      </c>
      <c r="Z1247" t="s">
        <v>217</v>
      </c>
      <c r="AA1247">
        <v>0</v>
      </c>
      <c r="AB1247" t="s">
        <v>142</v>
      </c>
      <c r="AC1247" t="s">
        <v>143</v>
      </c>
      <c r="AD1247" t="s">
        <v>40</v>
      </c>
      <c r="AE1247" t="str">
        <f t="shared" si="367"/>
        <v>03</v>
      </c>
      <c r="AF1247" t="s">
        <v>40</v>
      </c>
    </row>
    <row r="1248" spans="1:32" x14ac:dyDescent="0.25">
      <c r="A1248">
        <v>5</v>
      </c>
      <c r="B1248">
        <v>420</v>
      </c>
      <c r="C1248" t="str">
        <f>"51"</f>
        <v>51</v>
      </c>
      <c r="D1248">
        <v>6259</v>
      </c>
      <c r="E1248" t="str">
        <f>"54"</f>
        <v>54</v>
      </c>
      <c r="F1248" t="str">
        <f t="shared" si="368"/>
        <v>999</v>
      </c>
      <c r="G1248">
        <v>5</v>
      </c>
      <c r="H1248" t="str">
        <f t="shared" si="369"/>
        <v>99</v>
      </c>
      <c r="I1248" t="str">
        <f t="shared" si="364"/>
        <v>0</v>
      </c>
      <c r="J1248" t="str">
        <f t="shared" si="370"/>
        <v>00</v>
      </c>
      <c r="K1248">
        <v>20150318</v>
      </c>
      <c r="L1248" t="str">
        <f>"014854"</f>
        <v>014854</v>
      </c>
      <c r="M1248" t="str">
        <f>"00591"</f>
        <v>00591</v>
      </c>
      <c r="N1248" t="s">
        <v>272</v>
      </c>
      <c r="O1248" s="1">
        <v>2190</v>
      </c>
      <c r="Q1248" t="s">
        <v>33</v>
      </c>
      <c r="R1248" t="s">
        <v>34</v>
      </c>
      <c r="S1248" t="s">
        <v>35</v>
      </c>
      <c r="T1248" t="s">
        <v>35</v>
      </c>
      <c r="U1248" t="s">
        <v>34</v>
      </c>
      <c r="V1248" t="str">
        <f>""</f>
        <v/>
      </c>
      <c r="W1248">
        <v>20150318</v>
      </c>
      <c r="X1248" t="s">
        <v>216</v>
      </c>
      <c r="Y1248" t="s">
        <v>273</v>
      </c>
      <c r="Z1248" t="s">
        <v>273</v>
      </c>
      <c r="AA1248">
        <v>0</v>
      </c>
      <c r="AB1248" t="s">
        <v>142</v>
      </c>
      <c r="AC1248" t="s">
        <v>143</v>
      </c>
      <c r="AD1248" t="s">
        <v>40</v>
      </c>
      <c r="AE1248" t="str">
        <f t="shared" si="367"/>
        <v>03</v>
      </c>
      <c r="AF1248" t="s">
        <v>40</v>
      </c>
    </row>
    <row r="1249" spans="1:32" x14ac:dyDescent="0.25">
      <c r="A1249">
        <v>5</v>
      </c>
      <c r="B1249">
        <v>240</v>
      </c>
      <c r="C1249" t="str">
        <f>"35"</f>
        <v>35</v>
      </c>
      <c r="D1249">
        <v>6299</v>
      </c>
      <c r="E1249" t="str">
        <f t="shared" ref="E1249:E1280" si="371">"00"</f>
        <v>00</v>
      </c>
      <c r="F1249" t="str">
        <f t="shared" si="368"/>
        <v>999</v>
      </c>
      <c r="G1249">
        <v>5</v>
      </c>
      <c r="H1249" t="str">
        <f t="shared" si="369"/>
        <v>99</v>
      </c>
      <c r="I1249" t="str">
        <f t="shared" si="364"/>
        <v>0</v>
      </c>
      <c r="J1249" t="str">
        <f t="shared" si="370"/>
        <v>00</v>
      </c>
      <c r="K1249">
        <v>20150318</v>
      </c>
      <c r="L1249" t="str">
        <f>"014855"</f>
        <v>014855</v>
      </c>
      <c r="M1249" t="str">
        <f>"00577"</f>
        <v>00577</v>
      </c>
      <c r="N1249" t="s">
        <v>251</v>
      </c>
      <c r="O1249">
        <v>13.41</v>
      </c>
      <c r="Q1249" t="s">
        <v>33</v>
      </c>
      <c r="R1249" t="s">
        <v>34</v>
      </c>
      <c r="S1249" t="s">
        <v>35</v>
      </c>
      <c r="T1249" t="s">
        <v>35</v>
      </c>
      <c r="U1249" t="s">
        <v>34</v>
      </c>
      <c r="V1249" t="str">
        <f>""</f>
        <v/>
      </c>
      <c r="W1249">
        <v>20150318</v>
      </c>
      <c r="X1249" t="s">
        <v>252</v>
      </c>
      <c r="Y1249" t="s">
        <v>253</v>
      </c>
      <c r="Z1249" t="s">
        <v>253</v>
      </c>
      <c r="AA1249">
        <v>0</v>
      </c>
      <c r="AB1249" t="s">
        <v>238</v>
      </c>
      <c r="AC1249" t="s">
        <v>143</v>
      </c>
      <c r="AD1249" t="s">
        <v>40</v>
      </c>
      <c r="AE1249" t="str">
        <f t="shared" si="367"/>
        <v>03</v>
      </c>
      <c r="AF1249" t="s">
        <v>40</v>
      </c>
    </row>
    <row r="1250" spans="1:32" x14ac:dyDescent="0.25">
      <c r="A1250">
        <v>5</v>
      </c>
      <c r="B1250">
        <v>240</v>
      </c>
      <c r="C1250" t="str">
        <f>"35"</f>
        <v>35</v>
      </c>
      <c r="D1250">
        <v>6299</v>
      </c>
      <c r="E1250" t="str">
        <f t="shared" si="371"/>
        <v>00</v>
      </c>
      <c r="F1250" t="str">
        <f t="shared" si="368"/>
        <v>999</v>
      </c>
      <c r="G1250">
        <v>5</v>
      </c>
      <c r="H1250" t="str">
        <f t="shared" si="369"/>
        <v>99</v>
      </c>
      <c r="I1250" t="str">
        <f t="shared" si="364"/>
        <v>0</v>
      </c>
      <c r="J1250" t="str">
        <f t="shared" si="370"/>
        <v>00</v>
      </c>
      <c r="K1250">
        <v>20150318</v>
      </c>
      <c r="L1250" t="str">
        <f>"014855"</f>
        <v>014855</v>
      </c>
      <c r="M1250" t="str">
        <f>"00577"</f>
        <v>00577</v>
      </c>
      <c r="N1250" t="s">
        <v>251</v>
      </c>
      <c r="O1250">
        <v>39.04</v>
      </c>
      <c r="Q1250" t="s">
        <v>33</v>
      </c>
      <c r="R1250" t="s">
        <v>34</v>
      </c>
      <c r="S1250" t="s">
        <v>35</v>
      </c>
      <c r="T1250" t="s">
        <v>35</v>
      </c>
      <c r="U1250" t="s">
        <v>34</v>
      </c>
      <c r="V1250" t="str">
        <f>""</f>
        <v/>
      </c>
      <c r="W1250">
        <v>20150318</v>
      </c>
      <c r="X1250" t="s">
        <v>252</v>
      </c>
      <c r="Y1250" t="s">
        <v>253</v>
      </c>
      <c r="Z1250" t="s">
        <v>253</v>
      </c>
      <c r="AA1250">
        <v>0</v>
      </c>
      <c r="AB1250" t="s">
        <v>238</v>
      </c>
      <c r="AC1250" t="s">
        <v>143</v>
      </c>
      <c r="AD1250" t="s">
        <v>40</v>
      </c>
      <c r="AE1250" t="str">
        <f t="shared" si="367"/>
        <v>03</v>
      </c>
      <c r="AF1250" t="s">
        <v>40</v>
      </c>
    </row>
    <row r="1251" spans="1:32" x14ac:dyDescent="0.25">
      <c r="A1251">
        <v>5</v>
      </c>
      <c r="B1251">
        <v>420</v>
      </c>
      <c r="C1251" t="str">
        <f>"51"</f>
        <v>51</v>
      </c>
      <c r="D1251">
        <v>6299</v>
      </c>
      <c r="E1251" t="str">
        <f t="shared" si="371"/>
        <v>00</v>
      </c>
      <c r="F1251" t="str">
        <f t="shared" si="368"/>
        <v>999</v>
      </c>
      <c r="G1251">
        <v>5</v>
      </c>
      <c r="H1251" t="str">
        <f t="shared" si="369"/>
        <v>99</v>
      </c>
      <c r="I1251" t="str">
        <f t="shared" si="364"/>
        <v>0</v>
      </c>
      <c r="J1251" t="str">
        <f t="shared" si="370"/>
        <v>00</v>
      </c>
      <c r="K1251">
        <v>20150318</v>
      </c>
      <c r="L1251" t="str">
        <f>"014855"</f>
        <v>014855</v>
      </c>
      <c r="M1251" t="str">
        <f>"00577"</f>
        <v>00577</v>
      </c>
      <c r="N1251" t="s">
        <v>251</v>
      </c>
      <c r="O1251">
        <v>63.72</v>
      </c>
      <c r="Q1251" t="s">
        <v>33</v>
      </c>
      <c r="R1251" t="s">
        <v>34</v>
      </c>
      <c r="S1251" t="s">
        <v>35</v>
      </c>
      <c r="T1251" t="s">
        <v>35</v>
      </c>
      <c r="U1251" t="s">
        <v>34</v>
      </c>
      <c r="V1251" t="str">
        <f>""</f>
        <v/>
      </c>
      <c r="W1251">
        <v>20150318</v>
      </c>
      <c r="X1251" t="s">
        <v>203</v>
      </c>
      <c r="Y1251" t="s">
        <v>253</v>
      </c>
      <c r="Z1251" t="s">
        <v>253</v>
      </c>
      <c r="AA1251">
        <v>0</v>
      </c>
      <c r="AB1251" t="s">
        <v>142</v>
      </c>
      <c r="AC1251" t="s">
        <v>143</v>
      </c>
      <c r="AD1251" t="s">
        <v>40</v>
      </c>
      <c r="AE1251" t="str">
        <f t="shared" si="367"/>
        <v>03</v>
      </c>
      <c r="AF1251" t="s">
        <v>40</v>
      </c>
    </row>
    <row r="1252" spans="1:32" x14ac:dyDescent="0.25">
      <c r="A1252">
        <v>5</v>
      </c>
      <c r="B1252">
        <v>420</v>
      </c>
      <c r="C1252" t="str">
        <f>"51"</f>
        <v>51</v>
      </c>
      <c r="D1252">
        <v>6299</v>
      </c>
      <c r="E1252" t="str">
        <f t="shared" si="371"/>
        <v>00</v>
      </c>
      <c r="F1252" t="str">
        <f t="shared" si="368"/>
        <v>999</v>
      </c>
      <c r="G1252">
        <v>5</v>
      </c>
      <c r="H1252" t="str">
        <f t="shared" si="369"/>
        <v>99</v>
      </c>
      <c r="I1252" t="str">
        <f t="shared" si="364"/>
        <v>0</v>
      </c>
      <c r="J1252" t="str">
        <f t="shared" si="370"/>
        <v>00</v>
      </c>
      <c r="K1252">
        <v>20150318</v>
      </c>
      <c r="L1252" t="str">
        <f>"014855"</f>
        <v>014855</v>
      </c>
      <c r="M1252" t="str">
        <f>"00577"</f>
        <v>00577</v>
      </c>
      <c r="N1252" t="s">
        <v>251</v>
      </c>
      <c r="O1252">
        <v>89.35</v>
      </c>
      <c r="Q1252" t="s">
        <v>33</v>
      </c>
      <c r="R1252" t="s">
        <v>34</v>
      </c>
      <c r="S1252" t="s">
        <v>35</v>
      </c>
      <c r="T1252" t="s">
        <v>35</v>
      </c>
      <c r="U1252" t="s">
        <v>34</v>
      </c>
      <c r="V1252" t="str">
        <f>""</f>
        <v/>
      </c>
      <c r="W1252">
        <v>20150318</v>
      </c>
      <c r="X1252" t="s">
        <v>203</v>
      </c>
      <c r="Y1252" t="s">
        <v>253</v>
      </c>
      <c r="Z1252" t="s">
        <v>253</v>
      </c>
      <c r="AA1252">
        <v>0</v>
      </c>
      <c r="AB1252" t="s">
        <v>142</v>
      </c>
      <c r="AC1252" t="s">
        <v>143</v>
      </c>
      <c r="AD1252" t="s">
        <v>40</v>
      </c>
      <c r="AE1252" t="str">
        <f t="shared" si="367"/>
        <v>03</v>
      </c>
      <c r="AF1252" t="s">
        <v>40</v>
      </c>
    </row>
    <row r="1253" spans="1:32" x14ac:dyDescent="0.25">
      <c r="A1253">
        <v>5</v>
      </c>
      <c r="B1253">
        <v>420</v>
      </c>
      <c r="C1253" t="str">
        <f>"34"</f>
        <v>34</v>
      </c>
      <c r="D1253">
        <v>6513</v>
      </c>
      <c r="E1253" t="str">
        <f t="shared" si="371"/>
        <v>00</v>
      </c>
      <c r="F1253" t="str">
        <f t="shared" si="368"/>
        <v>999</v>
      </c>
      <c r="G1253">
        <v>5</v>
      </c>
      <c r="H1253" t="str">
        <f t="shared" si="369"/>
        <v>99</v>
      </c>
      <c r="I1253" t="str">
        <f t="shared" si="364"/>
        <v>0</v>
      </c>
      <c r="J1253" t="str">
        <f t="shared" si="370"/>
        <v>00</v>
      </c>
      <c r="K1253">
        <v>20150318</v>
      </c>
      <c r="L1253" t="str">
        <f>"014856"</f>
        <v>014856</v>
      </c>
      <c r="M1253" t="str">
        <f>"00520"</f>
        <v>00520</v>
      </c>
      <c r="N1253" t="s">
        <v>329</v>
      </c>
      <c r="O1253" s="1">
        <v>1362.44</v>
      </c>
      <c r="Q1253" t="s">
        <v>33</v>
      </c>
      <c r="R1253" t="s">
        <v>34</v>
      </c>
      <c r="S1253" t="s">
        <v>35</v>
      </c>
      <c r="T1253" t="s">
        <v>35</v>
      </c>
      <c r="U1253" t="s">
        <v>34</v>
      </c>
      <c r="V1253" t="str">
        <f>""</f>
        <v/>
      </c>
      <c r="W1253">
        <v>20150318</v>
      </c>
      <c r="X1253" t="s">
        <v>330</v>
      </c>
      <c r="Y1253" t="s">
        <v>571</v>
      </c>
      <c r="Z1253" t="s">
        <v>571</v>
      </c>
      <c r="AA1253">
        <v>0</v>
      </c>
      <c r="AB1253" t="s">
        <v>142</v>
      </c>
      <c r="AC1253" t="s">
        <v>143</v>
      </c>
      <c r="AD1253" t="s">
        <v>40</v>
      </c>
      <c r="AE1253" t="str">
        <f t="shared" si="367"/>
        <v>03</v>
      </c>
      <c r="AF1253" t="s">
        <v>40</v>
      </c>
    </row>
    <row r="1254" spans="1:32" x14ac:dyDescent="0.25">
      <c r="A1254">
        <v>5</v>
      </c>
      <c r="B1254">
        <v>420</v>
      </c>
      <c r="C1254" t="str">
        <f>"34"</f>
        <v>34</v>
      </c>
      <c r="D1254">
        <v>6523</v>
      </c>
      <c r="E1254" t="str">
        <f t="shared" si="371"/>
        <v>00</v>
      </c>
      <c r="F1254" t="str">
        <f t="shared" si="368"/>
        <v>999</v>
      </c>
      <c r="G1254">
        <v>5</v>
      </c>
      <c r="H1254" t="str">
        <f t="shared" si="369"/>
        <v>99</v>
      </c>
      <c r="I1254" t="str">
        <f t="shared" si="364"/>
        <v>0</v>
      </c>
      <c r="J1254" t="str">
        <f t="shared" si="370"/>
        <v>00</v>
      </c>
      <c r="K1254">
        <v>20150318</v>
      </c>
      <c r="L1254" t="str">
        <f>"014856"</f>
        <v>014856</v>
      </c>
      <c r="M1254" t="str">
        <f>"00520"</f>
        <v>00520</v>
      </c>
      <c r="N1254" t="s">
        <v>329</v>
      </c>
      <c r="O1254">
        <v>352.98</v>
      </c>
      <c r="Q1254" t="s">
        <v>33</v>
      </c>
      <c r="R1254" t="s">
        <v>34</v>
      </c>
      <c r="S1254" t="s">
        <v>35</v>
      </c>
      <c r="T1254" t="s">
        <v>35</v>
      </c>
      <c r="U1254" t="s">
        <v>34</v>
      </c>
      <c r="V1254" t="str">
        <f>""</f>
        <v/>
      </c>
      <c r="W1254">
        <v>20150318</v>
      </c>
      <c r="X1254" t="s">
        <v>640</v>
      </c>
      <c r="Y1254" t="s">
        <v>571</v>
      </c>
      <c r="Z1254" t="s">
        <v>571</v>
      </c>
      <c r="AA1254">
        <v>0</v>
      </c>
      <c r="AB1254" t="s">
        <v>142</v>
      </c>
      <c r="AC1254" t="s">
        <v>143</v>
      </c>
      <c r="AD1254" t="s">
        <v>40</v>
      </c>
      <c r="AE1254" t="str">
        <f t="shared" si="367"/>
        <v>03</v>
      </c>
      <c r="AF1254" t="s">
        <v>40</v>
      </c>
    </row>
    <row r="1255" spans="1:32" x14ac:dyDescent="0.25">
      <c r="A1255">
        <v>5</v>
      </c>
      <c r="B1255">
        <v>420</v>
      </c>
      <c r="C1255" t="str">
        <f t="shared" ref="C1255:C1264" si="372">"00"</f>
        <v>00</v>
      </c>
      <c r="D1255">
        <v>2153</v>
      </c>
      <c r="E1255" t="str">
        <f t="shared" si="371"/>
        <v>00</v>
      </c>
      <c r="F1255" t="str">
        <f>"008"</f>
        <v>008</v>
      </c>
      <c r="G1255">
        <v>5</v>
      </c>
      <c r="H1255" t="str">
        <f t="shared" ref="H1255:H1264" si="373">"00"</f>
        <v>00</v>
      </c>
      <c r="I1255" t="str">
        <f t="shared" si="364"/>
        <v>0</v>
      </c>
      <c r="J1255" t="str">
        <f t="shared" si="370"/>
        <v>00</v>
      </c>
      <c r="K1255">
        <v>20150325</v>
      </c>
      <c r="L1255" t="str">
        <f>"014857"</f>
        <v>014857</v>
      </c>
      <c r="M1255" t="str">
        <f>"00012"</f>
        <v>00012</v>
      </c>
      <c r="N1255" t="s">
        <v>279</v>
      </c>
      <c r="O1255">
        <v>445.94</v>
      </c>
      <c r="Q1255" t="s">
        <v>33</v>
      </c>
      <c r="R1255" t="s">
        <v>34</v>
      </c>
      <c r="S1255" t="s">
        <v>35</v>
      </c>
      <c r="T1255" t="s">
        <v>35</v>
      </c>
      <c r="U1255" t="s">
        <v>34</v>
      </c>
      <c r="V1255" t="str">
        <f>""</f>
        <v/>
      </c>
      <c r="W1255">
        <v>20150325</v>
      </c>
      <c r="X1255" t="s">
        <v>280</v>
      </c>
      <c r="Y1255" t="s">
        <v>762</v>
      </c>
      <c r="Z1255" t="s">
        <v>762</v>
      </c>
      <c r="AA1255">
        <v>0</v>
      </c>
      <c r="AB1255" t="s">
        <v>142</v>
      </c>
      <c r="AC1255" t="s">
        <v>282</v>
      </c>
      <c r="AD1255" t="s">
        <v>144</v>
      </c>
      <c r="AE1255" t="str">
        <f t="shared" si="367"/>
        <v>03</v>
      </c>
      <c r="AF1255" t="s">
        <v>40</v>
      </c>
    </row>
    <row r="1256" spans="1:32" x14ac:dyDescent="0.25">
      <c r="A1256">
        <v>5</v>
      </c>
      <c r="B1256">
        <v>420</v>
      </c>
      <c r="C1256" t="str">
        <f t="shared" si="372"/>
        <v>00</v>
      </c>
      <c r="D1256">
        <v>2159</v>
      </c>
      <c r="E1256" t="str">
        <f t="shared" si="371"/>
        <v>00</v>
      </c>
      <c r="F1256" t="str">
        <f>"009"</f>
        <v>009</v>
      </c>
      <c r="G1256">
        <v>5</v>
      </c>
      <c r="H1256" t="str">
        <f t="shared" si="373"/>
        <v>00</v>
      </c>
      <c r="I1256" t="str">
        <f t="shared" si="364"/>
        <v>0</v>
      </c>
      <c r="J1256" t="str">
        <f t="shared" si="370"/>
        <v>00</v>
      </c>
      <c r="K1256">
        <v>20150325</v>
      </c>
      <c r="L1256" t="str">
        <f>"014857"</f>
        <v>014857</v>
      </c>
      <c r="M1256" t="str">
        <f>"00012"</f>
        <v>00012</v>
      </c>
      <c r="N1256" t="s">
        <v>279</v>
      </c>
      <c r="O1256">
        <v>380.11</v>
      </c>
      <c r="Q1256" t="s">
        <v>33</v>
      </c>
      <c r="R1256" t="s">
        <v>34</v>
      </c>
      <c r="S1256" t="s">
        <v>35</v>
      </c>
      <c r="T1256" t="s">
        <v>35</v>
      </c>
      <c r="U1256" t="s">
        <v>34</v>
      </c>
      <c r="V1256" t="str">
        <f>""</f>
        <v/>
      </c>
      <c r="W1256">
        <v>20150325</v>
      </c>
      <c r="X1256" t="s">
        <v>283</v>
      </c>
      <c r="Y1256" t="s">
        <v>763</v>
      </c>
      <c r="Z1256" t="s">
        <v>763</v>
      </c>
      <c r="AA1256">
        <v>0</v>
      </c>
      <c r="AB1256" t="s">
        <v>142</v>
      </c>
      <c r="AC1256" t="s">
        <v>285</v>
      </c>
      <c r="AD1256" t="s">
        <v>144</v>
      </c>
      <c r="AE1256" t="str">
        <f t="shared" si="367"/>
        <v>03</v>
      </c>
      <c r="AF1256" t="s">
        <v>40</v>
      </c>
    </row>
    <row r="1257" spans="1:32" x14ac:dyDescent="0.25">
      <c r="A1257">
        <v>5</v>
      </c>
      <c r="B1257">
        <v>420</v>
      </c>
      <c r="C1257" t="str">
        <f t="shared" si="372"/>
        <v>00</v>
      </c>
      <c r="D1257">
        <v>2153</v>
      </c>
      <c r="E1257" t="str">
        <f t="shared" si="371"/>
        <v>00</v>
      </c>
      <c r="F1257" t="str">
        <f>"005"</f>
        <v>005</v>
      </c>
      <c r="G1257">
        <v>5</v>
      </c>
      <c r="H1257" t="str">
        <f t="shared" si="373"/>
        <v>00</v>
      </c>
      <c r="I1257" t="str">
        <f t="shared" si="364"/>
        <v>0</v>
      </c>
      <c r="J1257" t="str">
        <f t="shared" si="370"/>
        <v>00</v>
      </c>
      <c r="K1257">
        <v>20150325</v>
      </c>
      <c r="L1257" t="str">
        <f>"014858"</f>
        <v>014858</v>
      </c>
      <c r="M1257" t="str">
        <f>"00226"</f>
        <v>00226</v>
      </c>
      <c r="N1257" t="s">
        <v>286</v>
      </c>
      <c r="O1257">
        <v>721.92</v>
      </c>
      <c r="Q1257" t="s">
        <v>33</v>
      </c>
      <c r="R1257" t="s">
        <v>34</v>
      </c>
      <c r="S1257" t="s">
        <v>35</v>
      </c>
      <c r="T1257" t="s">
        <v>35</v>
      </c>
      <c r="U1257" t="s">
        <v>34</v>
      </c>
      <c r="V1257" t="str">
        <f>""</f>
        <v/>
      </c>
      <c r="W1257">
        <v>20150325</v>
      </c>
      <c r="X1257" t="s">
        <v>287</v>
      </c>
      <c r="Y1257" t="s">
        <v>762</v>
      </c>
      <c r="Z1257" t="s">
        <v>762</v>
      </c>
      <c r="AA1257">
        <v>0</v>
      </c>
      <c r="AB1257" t="s">
        <v>142</v>
      </c>
      <c r="AC1257" t="s">
        <v>288</v>
      </c>
      <c r="AD1257" t="s">
        <v>144</v>
      </c>
      <c r="AE1257" t="str">
        <f t="shared" si="367"/>
        <v>03</v>
      </c>
      <c r="AF1257" t="s">
        <v>40</v>
      </c>
    </row>
    <row r="1258" spans="1:32" x14ac:dyDescent="0.25">
      <c r="A1258">
        <v>5</v>
      </c>
      <c r="B1258">
        <v>420</v>
      </c>
      <c r="C1258" t="str">
        <f t="shared" si="372"/>
        <v>00</v>
      </c>
      <c r="D1258">
        <v>2153</v>
      </c>
      <c r="E1258" t="str">
        <f t="shared" si="371"/>
        <v>00</v>
      </c>
      <c r="F1258" t="str">
        <f>"006"</f>
        <v>006</v>
      </c>
      <c r="G1258">
        <v>5</v>
      </c>
      <c r="H1258" t="str">
        <f t="shared" si="373"/>
        <v>00</v>
      </c>
      <c r="I1258" t="str">
        <f t="shared" si="364"/>
        <v>0</v>
      </c>
      <c r="J1258" t="str">
        <f t="shared" si="370"/>
        <v>00</v>
      </c>
      <c r="K1258">
        <v>20150325</v>
      </c>
      <c r="L1258" t="str">
        <f>"014858"</f>
        <v>014858</v>
      </c>
      <c r="M1258" t="str">
        <f>"00226"</f>
        <v>00226</v>
      </c>
      <c r="N1258" t="s">
        <v>286</v>
      </c>
      <c r="O1258">
        <v>162.06</v>
      </c>
      <c r="Q1258" t="s">
        <v>33</v>
      </c>
      <c r="R1258" t="s">
        <v>34</v>
      </c>
      <c r="S1258" t="s">
        <v>35</v>
      </c>
      <c r="T1258" t="s">
        <v>35</v>
      </c>
      <c r="U1258" t="s">
        <v>34</v>
      </c>
      <c r="V1258" t="str">
        <f>""</f>
        <v/>
      </c>
      <c r="W1258">
        <v>20150325</v>
      </c>
      <c r="X1258" t="s">
        <v>289</v>
      </c>
      <c r="Y1258" t="s">
        <v>762</v>
      </c>
      <c r="Z1258" t="s">
        <v>762</v>
      </c>
      <c r="AA1258">
        <v>0</v>
      </c>
      <c r="AB1258" t="s">
        <v>142</v>
      </c>
      <c r="AC1258" t="s">
        <v>290</v>
      </c>
      <c r="AD1258" t="s">
        <v>144</v>
      </c>
      <c r="AE1258" t="str">
        <f t="shared" si="367"/>
        <v>03</v>
      </c>
      <c r="AF1258" t="s">
        <v>40</v>
      </c>
    </row>
    <row r="1259" spans="1:32" x14ac:dyDescent="0.25">
      <c r="A1259">
        <v>5</v>
      </c>
      <c r="B1259">
        <v>420</v>
      </c>
      <c r="C1259" t="str">
        <f t="shared" si="372"/>
        <v>00</v>
      </c>
      <c r="D1259">
        <v>2159</v>
      </c>
      <c r="E1259" t="str">
        <f t="shared" si="371"/>
        <v>00</v>
      </c>
      <c r="F1259" t="str">
        <f>"021"</f>
        <v>021</v>
      </c>
      <c r="G1259">
        <v>5</v>
      </c>
      <c r="H1259" t="str">
        <f t="shared" si="373"/>
        <v>00</v>
      </c>
      <c r="I1259" t="str">
        <f t="shared" si="364"/>
        <v>0</v>
      </c>
      <c r="J1259" t="str">
        <f t="shared" si="370"/>
        <v>00</v>
      </c>
      <c r="K1259">
        <v>20150325</v>
      </c>
      <c r="L1259" t="str">
        <f>"014859"</f>
        <v>014859</v>
      </c>
      <c r="M1259" t="str">
        <f>"00291"</f>
        <v>00291</v>
      </c>
      <c r="N1259" t="s">
        <v>658</v>
      </c>
      <c r="O1259" s="1">
        <v>1250</v>
      </c>
      <c r="Q1259" t="s">
        <v>33</v>
      </c>
      <c r="R1259" t="s">
        <v>34</v>
      </c>
      <c r="S1259" t="s">
        <v>35</v>
      </c>
      <c r="T1259" t="s">
        <v>35</v>
      </c>
      <c r="U1259" t="s">
        <v>34</v>
      </c>
      <c r="V1259" t="str">
        <f>""</f>
        <v/>
      </c>
      <c r="W1259">
        <v>20150325</v>
      </c>
      <c r="X1259" t="s">
        <v>292</v>
      </c>
      <c r="Y1259" t="s">
        <v>764</v>
      </c>
      <c r="Z1259" t="s">
        <v>764</v>
      </c>
      <c r="AA1259">
        <v>0</v>
      </c>
      <c r="AB1259" t="s">
        <v>142</v>
      </c>
      <c r="AC1259" t="s">
        <v>294</v>
      </c>
      <c r="AD1259" t="s">
        <v>144</v>
      </c>
      <c r="AE1259" t="str">
        <f t="shared" si="367"/>
        <v>03</v>
      </c>
      <c r="AF1259" t="s">
        <v>40</v>
      </c>
    </row>
    <row r="1260" spans="1:32" x14ac:dyDescent="0.25">
      <c r="A1260">
        <v>5</v>
      </c>
      <c r="B1260">
        <v>420</v>
      </c>
      <c r="C1260" t="str">
        <f t="shared" si="372"/>
        <v>00</v>
      </c>
      <c r="D1260">
        <v>2159</v>
      </c>
      <c r="E1260" t="str">
        <f t="shared" si="371"/>
        <v>00</v>
      </c>
      <c r="F1260" t="str">
        <f>"150"</f>
        <v>150</v>
      </c>
      <c r="G1260">
        <v>5</v>
      </c>
      <c r="H1260" t="str">
        <f t="shared" si="373"/>
        <v>00</v>
      </c>
      <c r="I1260" t="str">
        <f t="shared" si="364"/>
        <v>0</v>
      </c>
      <c r="J1260" t="str">
        <f t="shared" si="370"/>
        <v>00</v>
      </c>
      <c r="K1260">
        <v>20150325</v>
      </c>
      <c r="L1260" t="str">
        <f>"014860"</f>
        <v>014860</v>
      </c>
      <c r="M1260" t="str">
        <f>"00355"</f>
        <v>00355</v>
      </c>
      <c r="N1260" t="s">
        <v>295</v>
      </c>
      <c r="O1260">
        <v>417.16</v>
      </c>
      <c r="Q1260" t="s">
        <v>33</v>
      </c>
      <c r="R1260" t="s">
        <v>34</v>
      </c>
      <c r="S1260" t="s">
        <v>35</v>
      </c>
      <c r="T1260" t="s">
        <v>35</v>
      </c>
      <c r="U1260" t="s">
        <v>34</v>
      </c>
      <c r="V1260" t="str">
        <f>""</f>
        <v/>
      </c>
      <c r="W1260">
        <v>20150325</v>
      </c>
      <c r="X1260" t="s">
        <v>296</v>
      </c>
      <c r="Y1260" t="s">
        <v>764</v>
      </c>
      <c r="Z1260" t="s">
        <v>764</v>
      </c>
      <c r="AA1260">
        <v>0</v>
      </c>
      <c r="AB1260" t="s">
        <v>142</v>
      </c>
      <c r="AC1260" t="s">
        <v>297</v>
      </c>
      <c r="AD1260" t="s">
        <v>144</v>
      </c>
      <c r="AE1260" t="str">
        <f t="shared" si="367"/>
        <v>03</v>
      </c>
      <c r="AF1260" t="s">
        <v>40</v>
      </c>
    </row>
    <row r="1261" spans="1:32" x14ac:dyDescent="0.25">
      <c r="A1261">
        <v>5</v>
      </c>
      <c r="B1261">
        <v>420</v>
      </c>
      <c r="C1261" t="str">
        <f t="shared" si="372"/>
        <v>00</v>
      </c>
      <c r="D1261">
        <v>2159</v>
      </c>
      <c r="E1261" t="str">
        <f t="shared" si="371"/>
        <v>00</v>
      </c>
      <c r="F1261" t="str">
        <f>"154"</f>
        <v>154</v>
      </c>
      <c r="G1261">
        <v>5</v>
      </c>
      <c r="H1261" t="str">
        <f t="shared" si="373"/>
        <v>00</v>
      </c>
      <c r="I1261" t="str">
        <f t="shared" si="364"/>
        <v>0</v>
      </c>
      <c r="J1261" t="str">
        <f t="shared" si="370"/>
        <v>00</v>
      </c>
      <c r="K1261">
        <v>20150325</v>
      </c>
      <c r="L1261" t="str">
        <f>"014861"</f>
        <v>014861</v>
      </c>
      <c r="M1261" t="str">
        <f>"00684"</f>
        <v>00684</v>
      </c>
      <c r="N1261" t="s">
        <v>466</v>
      </c>
      <c r="O1261">
        <v>680</v>
      </c>
      <c r="Q1261" t="s">
        <v>33</v>
      </c>
      <c r="R1261" t="s">
        <v>34</v>
      </c>
      <c r="S1261" t="s">
        <v>35</v>
      </c>
      <c r="T1261" t="s">
        <v>35</v>
      </c>
      <c r="U1261" t="s">
        <v>34</v>
      </c>
      <c r="V1261" t="str">
        <f>""</f>
        <v/>
      </c>
      <c r="W1261">
        <v>20150325</v>
      </c>
      <c r="X1261" t="s">
        <v>467</v>
      </c>
      <c r="Y1261" t="s">
        <v>764</v>
      </c>
      <c r="Z1261" t="s">
        <v>764</v>
      </c>
      <c r="AA1261">
        <v>0</v>
      </c>
      <c r="AB1261" t="s">
        <v>142</v>
      </c>
      <c r="AC1261" t="s">
        <v>468</v>
      </c>
      <c r="AD1261" t="s">
        <v>144</v>
      </c>
      <c r="AE1261" t="str">
        <f t="shared" si="367"/>
        <v>03</v>
      </c>
      <c r="AF1261" t="s">
        <v>40</v>
      </c>
    </row>
    <row r="1262" spans="1:32" x14ac:dyDescent="0.25">
      <c r="A1262">
        <v>5</v>
      </c>
      <c r="B1262">
        <v>420</v>
      </c>
      <c r="C1262" t="str">
        <f t="shared" si="372"/>
        <v>00</v>
      </c>
      <c r="D1262">
        <v>2159</v>
      </c>
      <c r="E1262" t="str">
        <f t="shared" si="371"/>
        <v>00</v>
      </c>
      <c r="F1262" t="str">
        <f>"158"</f>
        <v>158</v>
      </c>
      <c r="G1262">
        <v>5</v>
      </c>
      <c r="H1262" t="str">
        <f t="shared" si="373"/>
        <v>00</v>
      </c>
      <c r="I1262" t="str">
        <f t="shared" si="364"/>
        <v>0</v>
      </c>
      <c r="J1262" t="str">
        <f t="shared" si="370"/>
        <v>00</v>
      </c>
      <c r="K1262">
        <v>20150325</v>
      </c>
      <c r="L1262" t="str">
        <f>"014862"</f>
        <v>014862</v>
      </c>
      <c r="M1262" t="str">
        <f>"00773"</f>
        <v>00773</v>
      </c>
      <c r="N1262" t="s">
        <v>298</v>
      </c>
      <c r="O1262">
        <v>25</v>
      </c>
      <c r="Q1262" t="s">
        <v>33</v>
      </c>
      <c r="R1262" t="s">
        <v>34</v>
      </c>
      <c r="S1262" t="s">
        <v>35</v>
      </c>
      <c r="T1262" t="s">
        <v>35</v>
      </c>
      <c r="U1262" t="s">
        <v>34</v>
      </c>
      <c r="V1262" t="str">
        <f>""</f>
        <v/>
      </c>
      <c r="W1262">
        <v>20150325</v>
      </c>
      <c r="X1262" t="s">
        <v>299</v>
      </c>
      <c r="Y1262" t="s">
        <v>765</v>
      </c>
      <c r="Z1262" t="s">
        <v>765</v>
      </c>
      <c r="AA1262">
        <v>0</v>
      </c>
      <c r="AB1262" t="s">
        <v>142</v>
      </c>
      <c r="AC1262" t="s">
        <v>298</v>
      </c>
      <c r="AD1262" t="s">
        <v>144</v>
      </c>
      <c r="AE1262" t="str">
        <f t="shared" si="367"/>
        <v>03</v>
      </c>
      <c r="AF1262" t="s">
        <v>40</v>
      </c>
    </row>
    <row r="1263" spans="1:32" x14ac:dyDescent="0.25">
      <c r="A1263">
        <v>5</v>
      </c>
      <c r="B1263">
        <v>420</v>
      </c>
      <c r="C1263" t="str">
        <f t="shared" si="372"/>
        <v>00</v>
      </c>
      <c r="D1263">
        <v>2159</v>
      </c>
      <c r="E1263" t="str">
        <f t="shared" si="371"/>
        <v>00</v>
      </c>
      <c r="F1263" t="str">
        <f>"164"</f>
        <v>164</v>
      </c>
      <c r="G1263">
        <v>5</v>
      </c>
      <c r="H1263" t="str">
        <f t="shared" si="373"/>
        <v>00</v>
      </c>
      <c r="I1263" t="str">
        <f t="shared" si="364"/>
        <v>0</v>
      </c>
      <c r="J1263" t="str">
        <f t="shared" si="370"/>
        <v>00</v>
      </c>
      <c r="K1263">
        <v>20150325</v>
      </c>
      <c r="L1263" t="str">
        <f>"014863"</f>
        <v>014863</v>
      </c>
      <c r="M1263" t="str">
        <f>"00787"</f>
        <v>00787</v>
      </c>
      <c r="N1263" t="s">
        <v>469</v>
      </c>
      <c r="O1263">
        <v>225</v>
      </c>
      <c r="Q1263" t="s">
        <v>33</v>
      </c>
      <c r="R1263" t="s">
        <v>34</v>
      </c>
      <c r="S1263" t="s">
        <v>35</v>
      </c>
      <c r="T1263" t="s">
        <v>35</v>
      </c>
      <c r="U1263" t="s">
        <v>34</v>
      </c>
      <c r="V1263" t="str">
        <f>""</f>
        <v/>
      </c>
      <c r="W1263">
        <v>20150325</v>
      </c>
      <c r="X1263" t="s">
        <v>470</v>
      </c>
      <c r="Y1263" t="s">
        <v>765</v>
      </c>
      <c r="Z1263" t="s">
        <v>765</v>
      </c>
      <c r="AA1263">
        <v>0</v>
      </c>
      <c r="AB1263" t="s">
        <v>142</v>
      </c>
      <c r="AC1263" t="s">
        <v>472</v>
      </c>
      <c r="AD1263" t="s">
        <v>144</v>
      </c>
      <c r="AE1263" t="str">
        <f t="shared" si="367"/>
        <v>03</v>
      </c>
      <c r="AF1263" t="s">
        <v>40</v>
      </c>
    </row>
    <row r="1264" spans="1:32" x14ac:dyDescent="0.25">
      <c r="A1264">
        <v>5</v>
      </c>
      <c r="B1264">
        <v>420</v>
      </c>
      <c r="C1264" t="str">
        <f t="shared" si="372"/>
        <v>00</v>
      </c>
      <c r="D1264">
        <v>2159</v>
      </c>
      <c r="E1264" t="str">
        <f t="shared" si="371"/>
        <v>00</v>
      </c>
      <c r="F1264" t="str">
        <f>"165"</f>
        <v>165</v>
      </c>
      <c r="G1264">
        <v>5</v>
      </c>
      <c r="H1264" t="str">
        <f t="shared" si="373"/>
        <v>00</v>
      </c>
      <c r="I1264" t="str">
        <f t="shared" si="364"/>
        <v>0</v>
      </c>
      <c r="J1264" t="str">
        <f t="shared" si="370"/>
        <v>00</v>
      </c>
      <c r="K1264">
        <v>20150325</v>
      </c>
      <c r="L1264" t="str">
        <f>"014864"</f>
        <v>014864</v>
      </c>
      <c r="M1264" t="str">
        <f>"00794"</f>
        <v>00794</v>
      </c>
      <c r="N1264" t="s">
        <v>613</v>
      </c>
      <c r="O1264">
        <v>30</v>
      </c>
      <c r="Q1264" t="s">
        <v>33</v>
      </c>
      <c r="R1264" t="s">
        <v>34</v>
      </c>
      <c r="S1264" t="s">
        <v>35</v>
      </c>
      <c r="T1264" t="s">
        <v>35</v>
      </c>
      <c r="U1264" t="s">
        <v>34</v>
      </c>
      <c r="V1264" t="str">
        <f>""</f>
        <v/>
      </c>
      <c r="W1264">
        <v>20150325</v>
      </c>
      <c r="X1264" t="s">
        <v>614</v>
      </c>
      <c r="Y1264" t="s">
        <v>764</v>
      </c>
      <c r="Z1264" t="s">
        <v>764</v>
      </c>
      <c r="AA1264">
        <v>0</v>
      </c>
      <c r="AB1264" t="s">
        <v>142</v>
      </c>
      <c r="AC1264" t="s">
        <v>613</v>
      </c>
      <c r="AD1264" t="s">
        <v>144</v>
      </c>
      <c r="AE1264" t="str">
        <f t="shared" si="367"/>
        <v>03</v>
      </c>
      <c r="AF1264" t="s">
        <v>40</v>
      </c>
    </row>
    <row r="1265" spans="1:32" x14ac:dyDescent="0.25">
      <c r="A1265">
        <v>5</v>
      </c>
      <c r="B1265">
        <v>240</v>
      </c>
      <c r="C1265" t="str">
        <f>"51"</f>
        <v>51</v>
      </c>
      <c r="D1265">
        <v>6319</v>
      </c>
      <c r="E1265" t="str">
        <f t="shared" si="371"/>
        <v>00</v>
      </c>
      <c r="F1265" t="str">
        <f>"999"</f>
        <v>999</v>
      </c>
      <c r="G1265">
        <v>5</v>
      </c>
      <c r="H1265" t="str">
        <f>"99"</f>
        <v>99</v>
      </c>
      <c r="I1265" t="str">
        <f t="shared" si="364"/>
        <v>0</v>
      </c>
      <c r="J1265" t="str">
        <f t="shared" si="370"/>
        <v>00</v>
      </c>
      <c r="K1265">
        <v>20150327</v>
      </c>
      <c r="L1265" t="str">
        <f>"014865"</f>
        <v>014865</v>
      </c>
      <c r="M1265" t="str">
        <f>"00152"</f>
        <v>00152</v>
      </c>
      <c r="N1265" t="s">
        <v>413</v>
      </c>
      <c r="O1265">
        <v>6.37</v>
      </c>
      <c r="Q1265" t="s">
        <v>33</v>
      </c>
      <c r="R1265" t="s">
        <v>34</v>
      </c>
      <c r="S1265" t="s">
        <v>35</v>
      </c>
      <c r="T1265" t="s">
        <v>35</v>
      </c>
      <c r="U1265" t="s">
        <v>34</v>
      </c>
      <c r="V1265" t="str">
        <f>""</f>
        <v/>
      </c>
      <c r="W1265">
        <v>20150326</v>
      </c>
      <c r="X1265" t="s">
        <v>350</v>
      </c>
      <c r="Y1265" t="s">
        <v>766</v>
      </c>
      <c r="Z1265" t="s">
        <v>766</v>
      </c>
      <c r="AA1265">
        <v>0</v>
      </c>
      <c r="AB1265" t="s">
        <v>238</v>
      </c>
      <c r="AC1265" t="s">
        <v>143</v>
      </c>
      <c r="AD1265" t="s">
        <v>40</v>
      </c>
      <c r="AE1265" t="str">
        <f t="shared" si="367"/>
        <v>03</v>
      </c>
      <c r="AF1265" t="s">
        <v>40</v>
      </c>
    </row>
    <row r="1266" spans="1:32" x14ac:dyDescent="0.25">
      <c r="A1266">
        <v>5</v>
      </c>
      <c r="B1266">
        <v>420</v>
      </c>
      <c r="C1266" t="str">
        <f>"51"</f>
        <v>51</v>
      </c>
      <c r="D1266">
        <v>6319</v>
      </c>
      <c r="E1266" t="str">
        <f t="shared" si="371"/>
        <v>00</v>
      </c>
      <c r="F1266" t="str">
        <f>"999"</f>
        <v>999</v>
      </c>
      <c r="G1266">
        <v>5</v>
      </c>
      <c r="H1266" t="str">
        <f>"99"</f>
        <v>99</v>
      </c>
      <c r="I1266" t="str">
        <f t="shared" si="364"/>
        <v>0</v>
      </c>
      <c r="J1266" t="str">
        <f t="shared" si="370"/>
        <v>00</v>
      </c>
      <c r="K1266">
        <v>20150327</v>
      </c>
      <c r="L1266" t="str">
        <f>"014865"</f>
        <v>014865</v>
      </c>
      <c r="M1266" t="str">
        <f>"00152"</f>
        <v>00152</v>
      </c>
      <c r="N1266" t="s">
        <v>413</v>
      </c>
      <c r="O1266">
        <v>22.62</v>
      </c>
      <c r="Q1266" t="s">
        <v>33</v>
      </c>
      <c r="R1266" t="s">
        <v>34</v>
      </c>
      <c r="S1266" t="s">
        <v>35</v>
      </c>
      <c r="T1266" t="s">
        <v>35</v>
      </c>
      <c r="U1266" t="s">
        <v>34</v>
      </c>
      <c r="V1266" t="str">
        <f>""</f>
        <v/>
      </c>
      <c r="W1266">
        <v>20150326</v>
      </c>
      <c r="X1266" t="s">
        <v>185</v>
      </c>
      <c r="Y1266" t="s">
        <v>498</v>
      </c>
      <c r="Z1266" t="s">
        <v>498</v>
      </c>
      <c r="AA1266">
        <v>0</v>
      </c>
      <c r="AB1266" t="s">
        <v>142</v>
      </c>
      <c r="AC1266" t="s">
        <v>143</v>
      </c>
      <c r="AD1266" t="s">
        <v>40</v>
      </c>
      <c r="AE1266" t="str">
        <f t="shared" si="367"/>
        <v>03</v>
      </c>
      <c r="AF1266" t="s">
        <v>40</v>
      </c>
    </row>
    <row r="1267" spans="1:32" x14ac:dyDescent="0.25">
      <c r="A1267">
        <v>5</v>
      </c>
      <c r="B1267">
        <v>211</v>
      </c>
      <c r="C1267" t="str">
        <f t="shared" ref="C1267:C1276" si="374">"11"</f>
        <v>11</v>
      </c>
      <c r="D1267">
        <v>6219</v>
      </c>
      <c r="E1267" t="str">
        <f t="shared" si="371"/>
        <v>00</v>
      </c>
      <c r="F1267" t="str">
        <f>"101"</f>
        <v>101</v>
      </c>
      <c r="G1267">
        <v>5</v>
      </c>
      <c r="H1267" t="str">
        <f>"30"</f>
        <v>30</v>
      </c>
      <c r="I1267" t="str">
        <f t="shared" si="364"/>
        <v>0</v>
      </c>
      <c r="J1267" t="str">
        <f>"28"</f>
        <v>28</v>
      </c>
      <c r="K1267">
        <v>20150327</v>
      </c>
      <c r="L1267" t="str">
        <f t="shared" ref="L1267:L1288" si="375">"014866"</f>
        <v>014866</v>
      </c>
      <c r="M1267" t="str">
        <f t="shared" ref="M1267:M1288" si="376">"00015"</f>
        <v>00015</v>
      </c>
      <c r="N1267" t="s">
        <v>44</v>
      </c>
      <c r="O1267" s="1">
        <v>1500</v>
      </c>
      <c r="Q1267" t="s">
        <v>33</v>
      </c>
      <c r="R1267" t="s">
        <v>34</v>
      </c>
      <c r="S1267" t="s">
        <v>35</v>
      </c>
      <c r="T1267" t="s">
        <v>35</v>
      </c>
      <c r="U1267" t="s">
        <v>34</v>
      </c>
      <c r="V1267" t="str">
        <f>""</f>
        <v/>
      </c>
      <c r="W1267">
        <v>20150327</v>
      </c>
      <c r="X1267" t="s">
        <v>767</v>
      </c>
      <c r="Y1267" t="s">
        <v>768</v>
      </c>
      <c r="Z1267" t="s">
        <v>768</v>
      </c>
      <c r="AA1267">
        <v>0</v>
      </c>
      <c r="AB1267" t="s">
        <v>174</v>
      </c>
      <c r="AC1267" t="s">
        <v>41</v>
      </c>
      <c r="AD1267" t="s">
        <v>40</v>
      </c>
      <c r="AE1267" t="str">
        <f t="shared" si="367"/>
        <v>03</v>
      </c>
      <c r="AF1267" t="s">
        <v>40</v>
      </c>
    </row>
    <row r="1268" spans="1:32" x14ac:dyDescent="0.25">
      <c r="A1268">
        <v>5</v>
      </c>
      <c r="B1268">
        <v>211</v>
      </c>
      <c r="C1268" t="str">
        <f t="shared" si="374"/>
        <v>11</v>
      </c>
      <c r="D1268">
        <v>6219</v>
      </c>
      <c r="E1268" t="str">
        <f t="shared" si="371"/>
        <v>00</v>
      </c>
      <c r="F1268" t="str">
        <f>"101"</f>
        <v>101</v>
      </c>
      <c r="G1268">
        <v>5</v>
      </c>
      <c r="H1268" t="str">
        <f>"30"</f>
        <v>30</v>
      </c>
      <c r="I1268" t="str">
        <f t="shared" si="364"/>
        <v>0</v>
      </c>
      <c r="J1268" t="str">
        <f>"28"</f>
        <v>28</v>
      </c>
      <c r="K1268">
        <v>20150327</v>
      </c>
      <c r="L1268" t="str">
        <f t="shared" si="375"/>
        <v>014866</v>
      </c>
      <c r="M1268" t="str">
        <f t="shared" si="376"/>
        <v>00015</v>
      </c>
      <c r="N1268" t="s">
        <v>44</v>
      </c>
      <c r="O1268" s="1">
        <v>1500</v>
      </c>
      <c r="Q1268" t="s">
        <v>33</v>
      </c>
      <c r="R1268" t="s">
        <v>34</v>
      </c>
      <c r="S1268" t="s">
        <v>35</v>
      </c>
      <c r="T1268" t="s">
        <v>35</v>
      </c>
      <c r="U1268" t="s">
        <v>34</v>
      </c>
      <c r="V1268" t="str">
        <f>""</f>
        <v/>
      </c>
      <c r="W1268">
        <v>20150327</v>
      </c>
      <c r="X1268" t="s">
        <v>767</v>
      </c>
      <c r="Y1268" t="s">
        <v>768</v>
      </c>
      <c r="Z1268" t="s">
        <v>768</v>
      </c>
      <c r="AA1268">
        <v>0</v>
      </c>
      <c r="AB1268" t="s">
        <v>174</v>
      </c>
      <c r="AC1268" t="s">
        <v>41</v>
      </c>
      <c r="AD1268" t="s">
        <v>40</v>
      </c>
      <c r="AE1268" t="str">
        <f t="shared" si="367"/>
        <v>03</v>
      </c>
      <c r="AF1268" t="s">
        <v>40</v>
      </c>
    </row>
    <row r="1269" spans="1:32" x14ac:dyDescent="0.25">
      <c r="A1269">
        <v>5</v>
      </c>
      <c r="B1269">
        <v>211</v>
      </c>
      <c r="C1269" t="str">
        <f t="shared" si="374"/>
        <v>11</v>
      </c>
      <c r="D1269">
        <v>6399</v>
      </c>
      <c r="E1269" t="str">
        <f t="shared" si="371"/>
        <v>00</v>
      </c>
      <c r="F1269" t="str">
        <f>"001"</f>
        <v>001</v>
      </c>
      <c r="G1269">
        <v>5</v>
      </c>
      <c r="H1269" t="str">
        <f>"30"</f>
        <v>30</v>
      </c>
      <c r="I1269" t="str">
        <f t="shared" si="364"/>
        <v>0</v>
      </c>
      <c r="J1269" t="str">
        <f t="shared" ref="J1269:J1280" si="377">"00"</f>
        <v>00</v>
      </c>
      <c r="K1269">
        <v>20150327</v>
      </c>
      <c r="L1269" t="str">
        <f t="shared" si="375"/>
        <v>014866</v>
      </c>
      <c r="M1269" t="str">
        <f t="shared" si="376"/>
        <v>00015</v>
      </c>
      <c r="N1269" t="s">
        <v>44</v>
      </c>
      <c r="O1269">
        <v>102</v>
      </c>
      <c r="Q1269" t="s">
        <v>33</v>
      </c>
      <c r="R1269" t="s">
        <v>34</v>
      </c>
      <c r="S1269" t="s">
        <v>35</v>
      </c>
      <c r="T1269" t="s">
        <v>35</v>
      </c>
      <c r="U1269" t="s">
        <v>34</v>
      </c>
      <c r="V1269" t="str">
        <f>""</f>
        <v/>
      </c>
      <c r="W1269">
        <v>20150327</v>
      </c>
      <c r="X1269" t="s">
        <v>623</v>
      </c>
      <c r="Y1269" t="s">
        <v>769</v>
      </c>
      <c r="Z1269" t="s">
        <v>769</v>
      </c>
      <c r="AA1269">
        <v>0</v>
      </c>
      <c r="AB1269" t="s">
        <v>174</v>
      </c>
      <c r="AC1269" t="s">
        <v>41</v>
      </c>
      <c r="AD1269" t="s">
        <v>40</v>
      </c>
      <c r="AE1269" t="str">
        <f t="shared" si="367"/>
        <v>03</v>
      </c>
      <c r="AF1269" t="s">
        <v>40</v>
      </c>
    </row>
    <row r="1270" spans="1:32" x14ac:dyDescent="0.25">
      <c r="A1270">
        <v>5</v>
      </c>
      <c r="B1270">
        <v>211</v>
      </c>
      <c r="C1270" t="str">
        <f t="shared" si="374"/>
        <v>11</v>
      </c>
      <c r="D1270">
        <v>6399</v>
      </c>
      <c r="E1270" t="str">
        <f t="shared" si="371"/>
        <v>00</v>
      </c>
      <c r="F1270" t="str">
        <f>"041"</f>
        <v>041</v>
      </c>
      <c r="G1270">
        <v>5</v>
      </c>
      <c r="H1270" t="str">
        <f>"30"</f>
        <v>30</v>
      </c>
      <c r="I1270" t="str">
        <f t="shared" si="364"/>
        <v>0</v>
      </c>
      <c r="J1270" t="str">
        <f t="shared" si="377"/>
        <v>00</v>
      </c>
      <c r="K1270">
        <v>20150327</v>
      </c>
      <c r="L1270" t="str">
        <f t="shared" si="375"/>
        <v>014866</v>
      </c>
      <c r="M1270" t="str">
        <f t="shared" si="376"/>
        <v>00015</v>
      </c>
      <c r="N1270" t="s">
        <v>44</v>
      </c>
      <c r="O1270" s="1">
        <v>1300</v>
      </c>
      <c r="Q1270" t="s">
        <v>33</v>
      </c>
      <c r="R1270" t="s">
        <v>34</v>
      </c>
      <c r="S1270" t="s">
        <v>35</v>
      </c>
      <c r="T1270" t="s">
        <v>35</v>
      </c>
      <c r="U1270" t="s">
        <v>34</v>
      </c>
      <c r="V1270" t="str">
        <f>""</f>
        <v/>
      </c>
      <c r="W1270">
        <v>20150327</v>
      </c>
      <c r="X1270" t="s">
        <v>417</v>
      </c>
      <c r="Y1270" t="s">
        <v>770</v>
      </c>
      <c r="Z1270" t="s">
        <v>770</v>
      </c>
      <c r="AA1270">
        <v>0</v>
      </c>
      <c r="AB1270" t="s">
        <v>174</v>
      </c>
      <c r="AC1270" t="s">
        <v>41</v>
      </c>
      <c r="AD1270" t="s">
        <v>40</v>
      </c>
      <c r="AE1270" t="str">
        <f t="shared" si="367"/>
        <v>03</v>
      </c>
      <c r="AF1270" t="s">
        <v>40</v>
      </c>
    </row>
    <row r="1271" spans="1:32" x14ac:dyDescent="0.25">
      <c r="A1271">
        <v>5</v>
      </c>
      <c r="B1271">
        <v>211</v>
      </c>
      <c r="C1271" t="str">
        <f t="shared" si="374"/>
        <v>11</v>
      </c>
      <c r="D1271">
        <v>6399</v>
      </c>
      <c r="E1271" t="str">
        <f t="shared" si="371"/>
        <v>00</v>
      </c>
      <c r="F1271" t="str">
        <f>"041"</f>
        <v>041</v>
      </c>
      <c r="G1271">
        <v>5</v>
      </c>
      <c r="H1271" t="str">
        <f>"30"</f>
        <v>30</v>
      </c>
      <c r="I1271" t="str">
        <f t="shared" si="364"/>
        <v>0</v>
      </c>
      <c r="J1271" t="str">
        <f t="shared" si="377"/>
        <v>00</v>
      </c>
      <c r="K1271">
        <v>20150327</v>
      </c>
      <c r="L1271" t="str">
        <f t="shared" si="375"/>
        <v>014866</v>
      </c>
      <c r="M1271" t="str">
        <f t="shared" si="376"/>
        <v>00015</v>
      </c>
      <c r="N1271" t="s">
        <v>44</v>
      </c>
      <c r="O1271">
        <v>840</v>
      </c>
      <c r="Q1271" t="s">
        <v>33</v>
      </c>
      <c r="R1271" t="s">
        <v>34</v>
      </c>
      <c r="S1271" t="s">
        <v>35</v>
      </c>
      <c r="T1271" t="s">
        <v>35</v>
      </c>
      <c r="U1271" t="s">
        <v>34</v>
      </c>
      <c r="V1271" t="str">
        <f>""</f>
        <v/>
      </c>
      <c r="W1271">
        <v>20150327</v>
      </c>
      <c r="X1271" t="s">
        <v>417</v>
      </c>
      <c r="Y1271" t="s">
        <v>771</v>
      </c>
      <c r="Z1271" t="s">
        <v>771</v>
      </c>
      <c r="AA1271">
        <v>0</v>
      </c>
      <c r="AB1271" t="s">
        <v>174</v>
      </c>
      <c r="AC1271" t="s">
        <v>41</v>
      </c>
      <c r="AD1271" t="s">
        <v>40</v>
      </c>
      <c r="AE1271" t="str">
        <f t="shared" si="367"/>
        <v>03</v>
      </c>
      <c r="AF1271" t="s">
        <v>40</v>
      </c>
    </row>
    <row r="1272" spans="1:32" x14ac:dyDescent="0.25">
      <c r="A1272">
        <v>5</v>
      </c>
      <c r="B1272">
        <v>224</v>
      </c>
      <c r="C1272" t="str">
        <f t="shared" si="374"/>
        <v>11</v>
      </c>
      <c r="D1272">
        <v>6219</v>
      </c>
      <c r="E1272" t="str">
        <f t="shared" si="371"/>
        <v>00</v>
      </c>
      <c r="F1272" t="str">
        <f t="shared" ref="F1272:F1277" si="378">"999"</f>
        <v>999</v>
      </c>
      <c r="G1272">
        <v>5</v>
      </c>
      <c r="H1272" t="str">
        <f>"23"</f>
        <v>23</v>
      </c>
      <c r="I1272" t="str">
        <f t="shared" si="364"/>
        <v>0</v>
      </c>
      <c r="J1272" t="str">
        <f t="shared" si="377"/>
        <v>00</v>
      </c>
      <c r="K1272">
        <v>20150327</v>
      </c>
      <c r="L1272" t="str">
        <f t="shared" si="375"/>
        <v>014866</v>
      </c>
      <c r="M1272" t="str">
        <f t="shared" si="376"/>
        <v>00015</v>
      </c>
      <c r="N1272" t="s">
        <v>44</v>
      </c>
      <c r="O1272">
        <v>18</v>
      </c>
      <c r="Q1272" t="s">
        <v>33</v>
      </c>
      <c r="R1272" t="s">
        <v>34</v>
      </c>
      <c r="S1272" t="s">
        <v>35</v>
      </c>
      <c r="T1272" t="s">
        <v>35</v>
      </c>
      <c r="U1272" t="s">
        <v>34</v>
      </c>
      <c r="V1272" t="str">
        <f>""</f>
        <v/>
      </c>
      <c r="W1272">
        <v>20150327</v>
      </c>
      <c r="X1272" t="s">
        <v>209</v>
      </c>
      <c r="Y1272" t="s">
        <v>772</v>
      </c>
      <c r="Z1272" t="s">
        <v>772</v>
      </c>
      <c r="AA1272">
        <v>0</v>
      </c>
      <c r="AB1272" t="s">
        <v>211</v>
      </c>
      <c r="AC1272" t="s">
        <v>143</v>
      </c>
      <c r="AD1272" t="s">
        <v>40</v>
      </c>
      <c r="AE1272" t="str">
        <f t="shared" si="367"/>
        <v>03</v>
      </c>
      <c r="AF1272" t="s">
        <v>40</v>
      </c>
    </row>
    <row r="1273" spans="1:32" x14ac:dyDescent="0.25">
      <c r="A1273">
        <v>5</v>
      </c>
      <c r="B1273">
        <v>224</v>
      </c>
      <c r="C1273" t="str">
        <f t="shared" si="374"/>
        <v>11</v>
      </c>
      <c r="D1273">
        <v>6219</v>
      </c>
      <c r="E1273" t="str">
        <f t="shared" si="371"/>
        <v>00</v>
      </c>
      <c r="F1273" t="str">
        <f t="shared" si="378"/>
        <v>999</v>
      </c>
      <c r="G1273">
        <v>5</v>
      </c>
      <c r="H1273" t="str">
        <f>"23"</f>
        <v>23</v>
      </c>
      <c r="I1273" t="str">
        <f t="shared" si="364"/>
        <v>0</v>
      </c>
      <c r="J1273" t="str">
        <f t="shared" si="377"/>
        <v>00</v>
      </c>
      <c r="K1273">
        <v>20150327</v>
      </c>
      <c r="L1273" t="str">
        <f t="shared" si="375"/>
        <v>014866</v>
      </c>
      <c r="M1273" t="str">
        <f t="shared" si="376"/>
        <v>00015</v>
      </c>
      <c r="N1273" t="s">
        <v>44</v>
      </c>
      <c r="O1273">
        <v>295.2</v>
      </c>
      <c r="Q1273" t="s">
        <v>33</v>
      </c>
      <c r="R1273" t="s">
        <v>34</v>
      </c>
      <c r="S1273" t="s">
        <v>35</v>
      </c>
      <c r="T1273" t="s">
        <v>35</v>
      </c>
      <c r="U1273" t="s">
        <v>34</v>
      </c>
      <c r="V1273" t="str">
        <f>""</f>
        <v/>
      </c>
      <c r="W1273">
        <v>20150327</v>
      </c>
      <c r="X1273" t="s">
        <v>209</v>
      </c>
      <c r="Y1273" t="s">
        <v>773</v>
      </c>
      <c r="Z1273" t="s">
        <v>773</v>
      </c>
      <c r="AA1273">
        <v>0</v>
      </c>
      <c r="AB1273" t="s">
        <v>211</v>
      </c>
      <c r="AC1273" t="s">
        <v>143</v>
      </c>
      <c r="AD1273" t="s">
        <v>40</v>
      </c>
      <c r="AE1273" t="str">
        <f t="shared" si="367"/>
        <v>03</v>
      </c>
      <c r="AF1273" t="s">
        <v>40</v>
      </c>
    </row>
    <row r="1274" spans="1:32" x14ac:dyDescent="0.25">
      <c r="A1274">
        <v>5</v>
      </c>
      <c r="B1274">
        <v>224</v>
      </c>
      <c r="C1274" t="str">
        <f t="shared" si="374"/>
        <v>11</v>
      </c>
      <c r="D1274">
        <v>6399</v>
      </c>
      <c r="E1274" t="str">
        <f t="shared" si="371"/>
        <v>00</v>
      </c>
      <c r="F1274" t="str">
        <f t="shared" si="378"/>
        <v>999</v>
      </c>
      <c r="G1274">
        <v>5</v>
      </c>
      <c r="H1274" t="str">
        <f>"23"</f>
        <v>23</v>
      </c>
      <c r="I1274" t="str">
        <f t="shared" si="364"/>
        <v>0</v>
      </c>
      <c r="J1274" t="str">
        <f t="shared" si="377"/>
        <v>00</v>
      </c>
      <c r="K1274">
        <v>20150327</v>
      </c>
      <c r="L1274" t="str">
        <f t="shared" si="375"/>
        <v>014866</v>
      </c>
      <c r="M1274" t="str">
        <f t="shared" si="376"/>
        <v>00015</v>
      </c>
      <c r="N1274" t="s">
        <v>44</v>
      </c>
      <c r="O1274">
        <v>222.72</v>
      </c>
      <c r="Q1274" t="s">
        <v>33</v>
      </c>
      <c r="R1274" t="s">
        <v>34</v>
      </c>
      <c r="S1274" t="s">
        <v>35</v>
      </c>
      <c r="T1274" t="s">
        <v>35</v>
      </c>
      <c r="U1274" t="s">
        <v>34</v>
      </c>
      <c r="V1274" t="str">
        <f>""</f>
        <v/>
      </c>
      <c r="W1274">
        <v>20150327</v>
      </c>
      <c r="X1274" t="s">
        <v>727</v>
      </c>
      <c r="Y1274" t="s">
        <v>59</v>
      </c>
      <c r="Z1274" t="s">
        <v>59</v>
      </c>
      <c r="AA1274">
        <v>0</v>
      </c>
      <c r="AB1274" t="s">
        <v>211</v>
      </c>
      <c r="AC1274" t="s">
        <v>143</v>
      </c>
      <c r="AD1274" t="s">
        <v>40</v>
      </c>
      <c r="AE1274" t="str">
        <f t="shared" ref="AE1274:AE1305" si="379">"03"</f>
        <v>03</v>
      </c>
      <c r="AF1274" t="s">
        <v>40</v>
      </c>
    </row>
    <row r="1275" spans="1:32" x14ac:dyDescent="0.25">
      <c r="A1275">
        <v>5</v>
      </c>
      <c r="B1275">
        <v>224</v>
      </c>
      <c r="C1275" t="str">
        <f t="shared" si="374"/>
        <v>11</v>
      </c>
      <c r="D1275">
        <v>6399</v>
      </c>
      <c r="E1275" t="str">
        <f t="shared" si="371"/>
        <v>00</v>
      </c>
      <c r="F1275" t="str">
        <f t="shared" si="378"/>
        <v>999</v>
      </c>
      <c r="G1275">
        <v>5</v>
      </c>
      <c r="H1275" t="str">
        <f>"23"</f>
        <v>23</v>
      </c>
      <c r="I1275" t="str">
        <f t="shared" si="364"/>
        <v>0</v>
      </c>
      <c r="J1275" t="str">
        <f t="shared" si="377"/>
        <v>00</v>
      </c>
      <c r="K1275">
        <v>20150327</v>
      </c>
      <c r="L1275" t="str">
        <f t="shared" si="375"/>
        <v>014866</v>
      </c>
      <c r="M1275" t="str">
        <f t="shared" si="376"/>
        <v>00015</v>
      </c>
      <c r="N1275" t="s">
        <v>44</v>
      </c>
      <c r="O1275">
        <v>792</v>
      </c>
      <c r="Q1275" t="s">
        <v>33</v>
      </c>
      <c r="R1275" t="s">
        <v>34</v>
      </c>
      <c r="S1275" t="s">
        <v>35</v>
      </c>
      <c r="T1275" t="s">
        <v>35</v>
      </c>
      <c r="U1275" t="s">
        <v>34</v>
      </c>
      <c r="V1275" t="str">
        <f>""</f>
        <v/>
      </c>
      <c r="W1275">
        <v>20150327</v>
      </c>
      <c r="X1275" t="s">
        <v>727</v>
      </c>
      <c r="Y1275" t="s">
        <v>774</v>
      </c>
      <c r="Z1275" t="s">
        <v>774</v>
      </c>
      <c r="AA1275">
        <v>0</v>
      </c>
      <c r="AB1275" t="s">
        <v>211</v>
      </c>
      <c r="AC1275" t="s">
        <v>143</v>
      </c>
      <c r="AD1275" t="s">
        <v>40</v>
      </c>
      <c r="AE1275" t="str">
        <f t="shared" si="379"/>
        <v>03</v>
      </c>
      <c r="AF1275" t="s">
        <v>40</v>
      </c>
    </row>
    <row r="1276" spans="1:32" x14ac:dyDescent="0.25">
      <c r="A1276">
        <v>5</v>
      </c>
      <c r="B1276">
        <v>224</v>
      </c>
      <c r="C1276" t="str">
        <f t="shared" si="374"/>
        <v>11</v>
      </c>
      <c r="D1276">
        <v>6399</v>
      </c>
      <c r="E1276" t="str">
        <f t="shared" si="371"/>
        <v>00</v>
      </c>
      <c r="F1276" t="str">
        <f t="shared" si="378"/>
        <v>999</v>
      </c>
      <c r="G1276">
        <v>5</v>
      </c>
      <c r="H1276" t="str">
        <f>"23"</f>
        <v>23</v>
      </c>
      <c r="I1276" t="str">
        <f t="shared" si="364"/>
        <v>0</v>
      </c>
      <c r="J1276" t="str">
        <f t="shared" si="377"/>
        <v>00</v>
      </c>
      <c r="K1276">
        <v>20150327</v>
      </c>
      <c r="L1276" t="str">
        <f t="shared" si="375"/>
        <v>014866</v>
      </c>
      <c r="M1276" t="str">
        <f t="shared" si="376"/>
        <v>00015</v>
      </c>
      <c r="N1276" t="s">
        <v>44</v>
      </c>
      <c r="O1276" s="1">
        <v>3432</v>
      </c>
      <c r="Q1276" t="s">
        <v>33</v>
      </c>
      <c r="R1276" t="s">
        <v>34</v>
      </c>
      <c r="S1276" t="s">
        <v>35</v>
      </c>
      <c r="T1276" t="s">
        <v>35</v>
      </c>
      <c r="U1276" t="s">
        <v>34</v>
      </c>
      <c r="V1276" t="str">
        <f>""</f>
        <v/>
      </c>
      <c r="W1276">
        <v>20150327</v>
      </c>
      <c r="X1276" t="s">
        <v>727</v>
      </c>
      <c r="Y1276" t="s">
        <v>774</v>
      </c>
      <c r="Z1276" t="s">
        <v>774</v>
      </c>
      <c r="AA1276">
        <v>0</v>
      </c>
      <c r="AB1276" t="s">
        <v>211</v>
      </c>
      <c r="AC1276" t="s">
        <v>143</v>
      </c>
      <c r="AD1276" t="s">
        <v>40</v>
      </c>
      <c r="AE1276" t="str">
        <f t="shared" si="379"/>
        <v>03</v>
      </c>
      <c r="AF1276" t="s">
        <v>40</v>
      </c>
    </row>
    <row r="1277" spans="1:32" x14ac:dyDescent="0.25">
      <c r="A1277">
        <v>5</v>
      </c>
      <c r="B1277">
        <v>240</v>
      </c>
      <c r="C1277" t="str">
        <f>"35"</f>
        <v>35</v>
      </c>
      <c r="D1277">
        <v>6349</v>
      </c>
      <c r="E1277" t="str">
        <f t="shared" si="371"/>
        <v>00</v>
      </c>
      <c r="F1277" t="str">
        <f t="shared" si="378"/>
        <v>999</v>
      </c>
      <c r="G1277">
        <v>5</v>
      </c>
      <c r="H1277" t="str">
        <f>"99"</f>
        <v>99</v>
      </c>
      <c r="I1277" t="str">
        <f t="shared" si="364"/>
        <v>0</v>
      </c>
      <c r="J1277" t="str">
        <f t="shared" si="377"/>
        <v>00</v>
      </c>
      <c r="K1277">
        <v>20150327</v>
      </c>
      <c r="L1277" t="str">
        <f t="shared" si="375"/>
        <v>014866</v>
      </c>
      <c r="M1277" t="str">
        <f t="shared" si="376"/>
        <v>00015</v>
      </c>
      <c r="N1277" t="s">
        <v>44</v>
      </c>
      <c r="O1277">
        <v>100</v>
      </c>
      <c r="Q1277" t="s">
        <v>33</v>
      </c>
      <c r="R1277" t="s">
        <v>34</v>
      </c>
      <c r="S1277" t="s">
        <v>35</v>
      </c>
      <c r="T1277" t="s">
        <v>35</v>
      </c>
      <c r="U1277" t="s">
        <v>34</v>
      </c>
      <c r="V1277" t="str">
        <f>""</f>
        <v/>
      </c>
      <c r="W1277">
        <v>20150327</v>
      </c>
      <c r="X1277" t="s">
        <v>236</v>
      </c>
      <c r="Y1277" t="s">
        <v>775</v>
      </c>
      <c r="Z1277" t="s">
        <v>775</v>
      </c>
      <c r="AA1277">
        <v>0</v>
      </c>
      <c r="AB1277" t="s">
        <v>238</v>
      </c>
      <c r="AC1277" t="s">
        <v>143</v>
      </c>
      <c r="AD1277" t="s">
        <v>40</v>
      </c>
      <c r="AE1277" t="str">
        <f t="shared" si="379"/>
        <v>03</v>
      </c>
      <c r="AF1277" t="s">
        <v>40</v>
      </c>
    </row>
    <row r="1278" spans="1:32" x14ac:dyDescent="0.25">
      <c r="A1278">
        <v>5</v>
      </c>
      <c r="B1278">
        <v>420</v>
      </c>
      <c r="C1278" t="str">
        <f t="shared" ref="C1278:C1285" si="380">"11"</f>
        <v>11</v>
      </c>
      <c r="D1278">
        <v>6339</v>
      </c>
      <c r="E1278" t="str">
        <f t="shared" si="371"/>
        <v>00</v>
      </c>
      <c r="F1278" t="str">
        <f>"001"</f>
        <v>001</v>
      </c>
      <c r="G1278">
        <v>5</v>
      </c>
      <c r="H1278" t="str">
        <f t="shared" ref="H1278:H1285" si="381">"11"</f>
        <v>11</v>
      </c>
      <c r="I1278" t="str">
        <f t="shared" si="364"/>
        <v>0</v>
      </c>
      <c r="J1278" t="str">
        <f t="shared" si="377"/>
        <v>00</v>
      </c>
      <c r="K1278">
        <v>20150327</v>
      </c>
      <c r="L1278" t="str">
        <f t="shared" si="375"/>
        <v>014866</v>
      </c>
      <c r="M1278" t="str">
        <f t="shared" si="376"/>
        <v>00015</v>
      </c>
      <c r="N1278" t="s">
        <v>44</v>
      </c>
      <c r="O1278">
        <v>110</v>
      </c>
      <c r="Q1278" t="s">
        <v>33</v>
      </c>
      <c r="R1278" t="s">
        <v>34</v>
      </c>
      <c r="S1278" t="s">
        <v>35</v>
      </c>
      <c r="T1278" t="s">
        <v>35</v>
      </c>
      <c r="U1278" t="s">
        <v>34</v>
      </c>
      <c r="V1278" t="str">
        <f>""</f>
        <v/>
      </c>
      <c r="W1278">
        <v>20150327</v>
      </c>
      <c r="X1278" t="s">
        <v>662</v>
      </c>
      <c r="Y1278" t="s">
        <v>776</v>
      </c>
      <c r="Z1278" t="s">
        <v>776</v>
      </c>
      <c r="AA1278">
        <v>0</v>
      </c>
      <c r="AB1278" t="s">
        <v>142</v>
      </c>
      <c r="AC1278" t="s">
        <v>41</v>
      </c>
      <c r="AD1278" t="s">
        <v>40</v>
      </c>
      <c r="AE1278" t="str">
        <f t="shared" si="379"/>
        <v>03</v>
      </c>
      <c r="AF1278" t="s">
        <v>40</v>
      </c>
    </row>
    <row r="1279" spans="1:32" x14ac:dyDescent="0.25">
      <c r="A1279">
        <v>5</v>
      </c>
      <c r="B1279">
        <v>420</v>
      </c>
      <c r="C1279" t="str">
        <f t="shared" si="380"/>
        <v>11</v>
      </c>
      <c r="D1279">
        <v>6339</v>
      </c>
      <c r="E1279" t="str">
        <f t="shared" si="371"/>
        <v>00</v>
      </c>
      <c r="F1279" t="str">
        <f>"001"</f>
        <v>001</v>
      </c>
      <c r="G1279">
        <v>5</v>
      </c>
      <c r="H1279" t="str">
        <f t="shared" si="381"/>
        <v>11</v>
      </c>
      <c r="I1279" t="str">
        <f t="shared" si="364"/>
        <v>0</v>
      </c>
      <c r="J1279" t="str">
        <f t="shared" si="377"/>
        <v>00</v>
      </c>
      <c r="K1279">
        <v>20150327</v>
      </c>
      <c r="L1279" t="str">
        <f t="shared" si="375"/>
        <v>014866</v>
      </c>
      <c r="M1279" t="str">
        <f t="shared" si="376"/>
        <v>00015</v>
      </c>
      <c r="N1279" t="s">
        <v>44</v>
      </c>
      <c r="O1279">
        <v>330</v>
      </c>
      <c r="Q1279" t="s">
        <v>33</v>
      </c>
      <c r="R1279" t="s">
        <v>34</v>
      </c>
      <c r="S1279" t="s">
        <v>35</v>
      </c>
      <c r="T1279" t="s">
        <v>35</v>
      </c>
      <c r="U1279" t="s">
        <v>34</v>
      </c>
      <c r="V1279" t="str">
        <f>""</f>
        <v/>
      </c>
      <c r="W1279">
        <v>20150327</v>
      </c>
      <c r="X1279" t="s">
        <v>662</v>
      </c>
      <c r="Y1279" t="s">
        <v>777</v>
      </c>
      <c r="Z1279" t="s">
        <v>777</v>
      </c>
      <c r="AA1279">
        <v>0</v>
      </c>
      <c r="AB1279" t="s">
        <v>142</v>
      </c>
      <c r="AC1279" t="s">
        <v>41</v>
      </c>
      <c r="AD1279" t="s">
        <v>40</v>
      </c>
      <c r="AE1279" t="str">
        <f t="shared" si="379"/>
        <v>03</v>
      </c>
      <c r="AF1279" t="s">
        <v>40</v>
      </c>
    </row>
    <row r="1280" spans="1:32" x14ac:dyDescent="0.25">
      <c r="A1280">
        <v>5</v>
      </c>
      <c r="B1280">
        <v>420</v>
      </c>
      <c r="C1280" t="str">
        <f t="shared" si="380"/>
        <v>11</v>
      </c>
      <c r="D1280">
        <v>6339</v>
      </c>
      <c r="E1280" t="str">
        <f t="shared" si="371"/>
        <v>00</v>
      </c>
      <c r="F1280" t="str">
        <f>"001"</f>
        <v>001</v>
      </c>
      <c r="G1280">
        <v>5</v>
      </c>
      <c r="H1280" t="str">
        <f t="shared" si="381"/>
        <v>11</v>
      </c>
      <c r="I1280" t="str">
        <f t="shared" si="364"/>
        <v>0</v>
      </c>
      <c r="J1280" t="str">
        <f t="shared" si="377"/>
        <v>00</v>
      </c>
      <c r="K1280">
        <v>20150327</v>
      </c>
      <c r="L1280" t="str">
        <f t="shared" si="375"/>
        <v>014866</v>
      </c>
      <c r="M1280" t="str">
        <f t="shared" si="376"/>
        <v>00015</v>
      </c>
      <c r="N1280" t="s">
        <v>44</v>
      </c>
      <c r="O1280">
        <v>220</v>
      </c>
      <c r="Q1280" t="s">
        <v>33</v>
      </c>
      <c r="R1280" t="s">
        <v>34</v>
      </c>
      <c r="S1280" t="s">
        <v>35</v>
      </c>
      <c r="T1280" t="s">
        <v>35</v>
      </c>
      <c r="U1280" t="s">
        <v>34</v>
      </c>
      <c r="V1280" t="str">
        <f>""</f>
        <v/>
      </c>
      <c r="W1280">
        <v>20150327</v>
      </c>
      <c r="X1280" t="s">
        <v>662</v>
      </c>
      <c r="Y1280" t="s">
        <v>778</v>
      </c>
      <c r="Z1280" t="s">
        <v>778</v>
      </c>
      <c r="AA1280">
        <v>0</v>
      </c>
      <c r="AB1280" t="s">
        <v>142</v>
      </c>
      <c r="AC1280" t="s">
        <v>41</v>
      </c>
      <c r="AD1280" t="s">
        <v>40</v>
      </c>
      <c r="AE1280" t="str">
        <f t="shared" si="379"/>
        <v>03</v>
      </c>
      <c r="AF1280" t="s">
        <v>40</v>
      </c>
    </row>
    <row r="1281" spans="1:32" x14ac:dyDescent="0.25">
      <c r="A1281">
        <v>5</v>
      </c>
      <c r="B1281">
        <v>420</v>
      </c>
      <c r="C1281" t="str">
        <f t="shared" si="380"/>
        <v>11</v>
      </c>
      <c r="D1281">
        <v>6399</v>
      </c>
      <c r="E1281" t="str">
        <f t="shared" ref="E1281:E1312" si="382">"00"</f>
        <v>00</v>
      </c>
      <c r="F1281" t="str">
        <f>"001"</f>
        <v>001</v>
      </c>
      <c r="G1281">
        <v>5</v>
      </c>
      <c r="H1281" t="str">
        <f t="shared" si="381"/>
        <v>11</v>
      </c>
      <c r="I1281" t="str">
        <f t="shared" si="364"/>
        <v>0</v>
      </c>
      <c r="J1281" t="str">
        <f>"22"</f>
        <v>22</v>
      </c>
      <c r="K1281">
        <v>20150327</v>
      </c>
      <c r="L1281" t="str">
        <f t="shared" si="375"/>
        <v>014866</v>
      </c>
      <c r="M1281" t="str">
        <f t="shared" si="376"/>
        <v>00015</v>
      </c>
      <c r="N1281" t="s">
        <v>44</v>
      </c>
      <c r="O1281">
        <v>15.85</v>
      </c>
      <c r="Q1281" t="s">
        <v>33</v>
      </c>
      <c r="R1281" t="s">
        <v>34</v>
      </c>
      <c r="S1281" t="s">
        <v>35</v>
      </c>
      <c r="T1281" t="s">
        <v>35</v>
      </c>
      <c r="U1281" t="s">
        <v>34</v>
      </c>
      <c r="V1281" t="str">
        <f>""</f>
        <v/>
      </c>
      <c r="W1281">
        <v>20150327</v>
      </c>
      <c r="X1281" t="s">
        <v>507</v>
      </c>
      <c r="Y1281" t="s">
        <v>779</v>
      </c>
      <c r="Z1281" t="s">
        <v>779</v>
      </c>
      <c r="AA1281">
        <v>0</v>
      </c>
      <c r="AB1281" t="s">
        <v>142</v>
      </c>
      <c r="AC1281" t="s">
        <v>41</v>
      </c>
      <c r="AD1281" t="s">
        <v>40</v>
      </c>
      <c r="AE1281" t="str">
        <f t="shared" si="379"/>
        <v>03</v>
      </c>
      <c r="AF1281" t="s">
        <v>40</v>
      </c>
    </row>
    <row r="1282" spans="1:32" x14ac:dyDescent="0.25">
      <c r="A1282">
        <v>5</v>
      </c>
      <c r="B1282">
        <v>420</v>
      </c>
      <c r="C1282" t="str">
        <f t="shared" si="380"/>
        <v>11</v>
      </c>
      <c r="D1282">
        <v>6399</v>
      </c>
      <c r="E1282" t="str">
        <f t="shared" si="382"/>
        <v>00</v>
      </c>
      <c r="F1282" t="str">
        <f>"041"</f>
        <v>041</v>
      </c>
      <c r="G1282">
        <v>5</v>
      </c>
      <c r="H1282" t="str">
        <f t="shared" si="381"/>
        <v>11</v>
      </c>
      <c r="I1282" t="str">
        <f t="shared" ref="I1282:I1345" si="383">"0"</f>
        <v>0</v>
      </c>
      <c r="J1282" t="str">
        <f>"00"</f>
        <v>00</v>
      </c>
      <c r="K1282">
        <v>20150327</v>
      </c>
      <c r="L1282" t="str">
        <f t="shared" si="375"/>
        <v>014866</v>
      </c>
      <c r="M1282" t="str">
        <f t="shared" si="376"/>
        <v>00015</v>
      </c>
      <c r="N1282" t="s">
        <v>44</v>
      </c>
      <c r="O1282">
        <v>902.89</v>
      </c>
      <c r="Q1282" t="s">
        <v>33</v>
      </c>
      <c r="R1282" t="s">
        <v>34</v>
      </c>
      <c r="S1282" t="s">
        <v>35</v>
      </c>
      <c r="T1282" t="s">
        <v>35</v>
      </c>
      <c r="U1282" t="s">
        <v>34</v>
      </c>
      <c r="V1282" t="str">
        <f>""</f>
        <v/>
      </c>
      <c r="W1282">
        <v>20150327</v>
      </c>
      <c r="X1282" t="s">
        <v>241</v>
      </c>
      <c r="Y1282" t="s">
        <v>770</v>
      </c>
      <c r="Z1282" t="s">
        <v>770</v>
      </c>
      <c r="AA1282">
        <v>0</v>
      </c>
      <c r="AB1282" t="s">
        <v>142</v>
      </c>
      <c r="AC1282" t="s">
        <v>41</v>
      </c>
      <c r="AD1282" t="s">
        <v>40</v>
      </c>
      <c r="AE1282" t="str">
        <f t="shared" si="379"/>
        <v>03</v>
      </c>
      <c r="AF1282" t="s">
        <v>40</v>
      </c>
    </row>
    <row r="1283" spans="1:32" x14ac:dyDescent="0.25">
      <c r="A1283">
        <v>5</v>
      </c>
      <c r="B1283">
        <v>420</v>
      </c>
      <c r="C1283" t="str">
        <f t="shared" si="380"/>
        <v>11</v>
      </c>
      <c r="D1283">
        <v>6399</v>
      </c>
      <c r="E1283" t="str">
        <f t="shared" si="382"/>
        <v>00</v>
      </c>
      <c r="F1283" t="str">
        <f>"041"</f>
        <v>041</v>
      </c>
      <c r="G1283">
        <v>5</v>
      </c>
      <c r="H1283" t="str">
        <f t="shared" si="381"/>
        <v>11</v>
      </c>
      <c r="I1283" t="str">
        <f t="shared" si="383"/>
        <v>0</v>
      </c>
      <c r="J1283" t="str">
        <f>"22"</f>
        <v>22</v>
      </c>
      <c r="K1283">
        <v>20150327</v>
      </c>
      <c r="L1283" t="str">
        <f t="shared" si="375"/>
        <v>014866</v>
      </c>
      <c r="M1283" t="str">
        <f t="shared" si="376"/>
        <v>00015</v>
      </c>
      <c r="N1283" t="s">
        <v>44</v>
      </c>
      <c r="O1283">
        <v>15.86</v>
      </c>
      <c r="Q1283" t="s">
        <v>33</v>
      </c>
      <c r="R1283" t="s">
        <v>34</v>
      </c>
      <c r="S1283" t="s">
        <v>35</v>
      </c>
      <c r="T1283" t="s">
        <v>35</v>
      </c>
      <c r="U1283" t="s">
        <v>34</v>
      </c>
      <c r="V1283" t="str">
        <f>""</f>
        <v/>
      </c>
      <c r="W1283">
        <v>20150327</v>
      </c>
      <c r="X1283" t="s">
        <v>509</v>
      </c>
      <c r="Y1283" t="s">
        <v>779</v>
      </c>
      <c r="Z1283" t="s">
        <v>779</v>
      </c>
      <c r="AA1283">
        <v>0</v>
      </c>
      <c r="AB1283" t="s">
        <v>142</v>
      </c>
      <c r="AC1283" t="s">
        <v>41</v>
      </c>
      <c r="AD1283" t="s">
        <v>40</v>
      </c>
      <c r="AE1283" t="str">
        <f t="shared" si="379"/>
        <v>03</v>
      </c>
      <c r="AF1283" t="s">
        <v>40</v>
      </c>
    </row>
    <row r="1284" spans="1:32" x14ac:dyDescent="0.25">
      <c r="A1284">
        <v>5</v>
      </c>
      <c r="B1284">
        <v>420</v>
      </c>
      <c r="C1284" t="str">
        <f t="shared" si="380"/>
        <v>11</v>
      </c>
      <c r="D1284">
        <v>6399</v>
      </c>
      <c r="E1284" t="str">
        <f t="shared" si="382"/>
        <v>00</v>
      </c>
      <c r="F1284" t="str">
        <f>"101"</f>
        <v>101</v>
      </c>
      <c r="G1284">
        <v>5</v>
      </c>
      <c r="H1284" t="str">
        <f t="shared" si="381"/>
        <v>11</v>
      </c>
      <c r="I1284" t="str">
        <f t="shared" si="383"/>
        <v>0</v>
      </c>
      <c r="J1284" t="str">
        <f>"22"</f>
        <v>22</v>
      </c>
      <c r="K1284">
        <v>20150327</v>
      </c>
      <c r="L1284" t="str">
        <f t="shared" si="375"/>
        <v>014866</v>
      </c>
      <c r="M1284" t="str">
        <f t="shared" si="376"/>
        <v>00015</v>
      </c>
      <c r="N1284" t="s">
        <v>44</v>
      </c>
      <c r="O1284">
        <v>72.790000000000006</v>
      </c>
      <c r="Q1284" t="s">
        <v>33</v>
      </c>
      <c r="R1284" t="s">
        <v>34</v>
      </c>
      <c r="S1284" t="s">
        <v>35</v>
      </c>
      <c r="T1284" t="s">
        <v>35</v>
      </c>
      <c r="U1284" t="s">
        <v>34</v>
      </c>
      <c r="V1284" t="str">
        <f>""</f>
        <v/>
      </c>
      <c r="W1284">
        <v>20150327</v>
      </c>
      <c r="X1284" t="s">
        <v>510</v>
      </c>
      <c r="Y1284" t="s">
        <v>779</v>
      </c>
      <c r="Z1284" t="s">
        <v>779</v>
      </c>
      <c r="AA1284">
        <v>0</v>
      </c>
      <c r="AB1284" t="s">
        <v>142</v>
      </c>
      <c r="AC1284" t="s">
        <v>41</v>
      </c>
      <c r="AD1284" t="s">
        <v>40</v>
      </c>
      <c r="AE1284" t="str">
        <f t="shared" si="379"/>
        <v>03</v>
      </c>
      <c r="AF1284" t="s">
        <v>40</v>
      </c>
    </row>
    <row r="1285" spans="1:32" x14ac:dyDescent="0.25">
      <c r="A1285">
        <v>5</v>
      </c>
      <c r="B1285">
        <v>420</v>
      </c>
      <c r="C1285" t="str">
        <f t="shared" si="380"/>
        <v>11</v>
      </c>
      <c r="D1285">
        <v>6399</v>
      </c>
      <c r="E1285" t="str">
        <f t="shared" si="382"/>
        <v>00</v>
      </c>
      <c r="F1285" t="str">
        <f t="shared" ref="F1285:F1294" si="384">"999"</f>
        <v>999</v>
      </c>
      <c r="G1285">
        <v>5</v>
      </c>
      <c r="H1285" t="str">
        <f t="shared" si="381"/>
        <v>11</v>
      </c>
      <c r="I1285" t="str">
        <f t="shared" si="383"/>
        <v>0</v>
      </c>
      <c r="J1285" t="str">
        <f t="shared" ref="J1285:J1295" si="385">"00"</f>
        <v>00</v>
      </c>
      <c r="K1285">
        <v>20150327</v>
      </c>
      <c r="L1285" t="str">
        <f t="shared" si="375"/>
        <v>014866</v>
      </c>
      <c r="M1285" t="str">
        <f t="shared" si="376"/>
        <v>00015</v>
      </c>
      <c r="N1285" t="s">
        <v>44</v>
      </c>
      <c r="O1285">
        <v>19.8</v>
      </c>
      <c r="Q1285" t="s">
        <v>33</v>
      </c>
      <c r="R1285" t="s">
        <v>34</v>
      </c>
      <c r="S1285" t="s">
        <v>35</v>
      </c>
      <c r="T1285" t="s">
        <v>35</v>
      </c>
      <c r="U1285" t="s">
        <v>34</v>
      </c>
      <c r="V1285" t="str">
        <f>""</f>
        <v/>
      </c>
      <c r="W1285">
        <v>20150327</v>
      </c>
      <c r="X1285" t="s">
        <v>385</v>
      </c>
      <c r="Y1285" t="s">
        <v>59</v>
      </c>
      <c r="Z1285" t="s">
        <v>59</v>
      </c>
      <c r="AA1285">
        <v>0</v>
      </c>
      <c r="AB1285" t="s">
        <v>142</v>
      </c>
      <c r="AC1285" t="s">
        <v>143</v>
      </c>
      <c r="AD1285" t="s">
        <v>40</v>
      </c>
      <c r="AE1285" t="str">
        <f t="shared" si="379"/>
        <v>03</v>
      </c>
      <c r="AF1285" t="s">
        <v>40</v>
      </c>
    </row>
    <row r="1286" spans="1:32" x14ac:dyDescent="0.25">
      <c r="A1286">
        <v>5</v>
      </c>
      <c r="B1286">
        <v>420</v>
      </c>
      <c r="C1286" t="str">
        <f>"33"</f>
        <v>33</v>
      </c>
      <c r="D1286">
        <v>6219</v>
      </c>
      <c r="E1286" t="str">
        <f t="shared" si="382"/>
        <v>00</v>
      </c>
      <c r="F1286" t="str">
        <f t="shared" si="384"/>
        <v>999</v>
      </c>
      <c r="G1286">
        <v>5</v>
      </c>
      <c r="H1286" t="str">
        <f t="shared" ref="H1286:H1291" si="386">"99"</f>
        <v>99</v>
      </c>
      <c r="I1286" t="str">
        <f t="shared" si="383"/>
        <v>0</v>
      </c>
      <c r="J1286" t="str">
        <f t="shared" si="385"/>
        <v>00</v>
      </c>
      <c r="K1286">
        <v>20150327</v>
      </c>
      <c r="L1286" t="str">
        <f t="shared" si="375"/>
        <v>014866</v>
      </c>
      <c r="M1286" t="str">
        <f t="shared" si="376"/>
        <v>00015</v>
      </c>
      <c r="N1286" t="s">
        <v>44</v>
      </c>
      <c r="O1286">
        <v>154.5</v>
      </c>
      <c r="Q1286" t="s">
        <v>33</v>
      </c>
      <c r="R1286" t="s">
        <v>34</v>
      </c>
      <c r="S1286" t="s">
        <v>35</v>
      </c>
      <c r="T1286" t="s">
        <v>35</v>
      </c>
      <c r="U1286" t="s">
        <v>34</v>
      </c>
      <c r="V1286" t="str">
        <f>""</f>
        <v/>
      </c>
      <c r="W1286">
        <v>20150327</v>
      </c>
      <c r="X1286" t="s">
        <v>233</v>
      </c>
      <c r="Y1286" t="s">
        <v>780</v>
      </c>
      <c r="Z1286" t="s">
        <v>780</v>
      </c>
      <c r="AA1286">
        <v>0</v>
      </c>
      <c r="AB1286" t="s">
        <v>142</v>
      </c>
      <c r="AC1286" t="s">
        <v>143</v>
      </c>
      <c r="AD1286" t="s">
        <v>40</v>
      </c>
      <c r="AE1286" t="str">
        <f t="shared" si="379"/>
        <v>03</v>
      </c>
      <c r="AF1286" t="s">
        <v>40</v>
      </c>
    </row>
    <row r="1287" spans="1:32" x14ac:dyDescent="0.25">
      <c r="A1287">
        <v>5</v>
      </c>
      <c r="B1287">
        <v>420</v>
      </c>
      <c r="C1287" t="str">
        <f>"51"</f>
        <v>51</v>
      </c>
      <c r="D1287">
        <v>6269</v>
      </c>
      <c r="E1287" t="str">
        <f t="shared" si="382"/>
        <v>00</v>
      </c>
      <c r="F1287" t="str">
        <f t="shared" si="384"/>
        <v>999</v>
      </c>
      <c r="G1287">
        <v>5</v>
      </c>
      <c r="H1287" t="str">
        <f t="shared" si="386"/>
        <v>99</v>
      </c>
      <c r="I1287" t="str">
        <f t="shared" si="383"/>
        <v>0</v>
      </c>
      <c r="J1287" t="str">
        <f t="shared" si="385"/>
        <v>00</v>
      </c>
      <c r="K1287">
        <v>20150327</v>
      </c>
      <c r="L1287" t="str">
        <f t="shared" si="375"/>
        <v>014866</v>
      </c>
      <c r="M1287" t="str">
        <f t="shared" si="376"/>
        <v>00015</v>
      </c>
      <c r="N1287" t="s">
        <v>44</v>
      </c>
      <c r="O1287">
        <v>99</v>
      </c>
      <c r="Q1287" t="s">
        <v>33</v>
      </c>
      <c r="R1287" t="s">
        <v>34</v>
      </c>
      <c r="S1287" t="s">
        <v>35</v>
      </c>
      <c r="T1287" t="s">
        <v>35</v>
      </c>
      <c r="U1287" t="s">
        <v>34</v>
      </c>
      <c r="V1287" t="str">
        <f>""</f>
        <v/>
      </c>
      <c r="W1287">
        <v>20150327</v>
      </c>
      <c r="X1287" t="s">
        <v>225</v>
      </c>
      <c r="Y1287" t="s">
        <v>525</v>
      </c>
      <c r="Z1287" t="s">
        <v>525</v>
      </c>
      <c r="AA1287">
        <v>0</v>
      </c>
      <c r="AB1287" t="s">
        <v>142</v>
      </c>
      <c r="AC1287" t="s">
        <v>143</v>
      </c>
      <c r="AD1287" t="s">
        <v>40</v>
      </c>
      <c r="AE1287" t="str">
        <f t="shared" si="379"/>
        <v>03</v>
      </c>
      <c r="AF1287" t="s">
        <v>40</v>
      </c>
    </row>
    <row r="1288" spans="1:32" x14ac:dyDescent="0.25">
      <c r="A1288">
        <v>5</v>
      </c>
      <c r="B1288">
        <v>420</v>
      </c>
      <c r="C1288" t="str">
        <f>"51"</f>
        <v>51</v>
      </c>
      <c r="D1288">
        <v>6319</v>
      </c>
      <c r="E1288" t="str">
        <f t="shared" si="382"/>
        <v>00</v>
      </c>
      <c r="F1288" t="str">
        <f t="shared" si="384"/>
        <v>999</v>
      </c>
      <c r="G1288">
        <v>5</v>
      </c>
      <c r="H1288" t="str">
        <f t="shared" si="386"/>
        <v>99</v>
      </c>
      <c r="I1288" t="str">
        <f t="shared" si="383"/>
        <v>0</v>
      </c>
      <c r="J1288" t="str">
        <f t="shared" si="385"/>
        <v>00</v>
      </c>
      <c r="K1288">
        <v>20150327</v>
      </c>
      <c r="L1288" t="str">
        <f t="shared" si="375"/>
        <v>014866</v>
      </c>
      <c r="M1288" t="str">
        <f t="shared" si="376"/>
        <v>00015</v>
      </c>
      <c r="N1288" t="s">
        <v>44</v>
      </c>
      <c r="O1288">
        <v>53.63</v>
      </c>
      <c r="Q1288" t="s">
        <v>33</v>
      </c>
      <c r="R1288" t="s">
        <v>34</v>
      </c>
      <c r="S1288" t="s">
        <v>35</v>
      </c>
      <c r="T1288" t="s">
        <v>35</v>
      </c>
      <c r="U1288" t="s">
        <v>34</v>
      </c>
      <c r="V1288" t="str">
        <f>""</f>
        <v/>
      </c>
      <c r="W1288">
        <v>20150327</v>
      </c>
      <c r="X1288" t="s">
        <v>185</v>
      </c>
      <c r="Y1288" t="s">
        <v>530</v>
      </c>
      <c r="Z1288" t="s">
        <v>530</v>
      </c>
      <c r="AA1288">
        <v>0</v>
      </c>
      <c r="AB1288" t="s">
        <v>142</v>
      </c>
      <c r="AC1288" t="s">
        <v>143</v>
      </c>
      <c r="AD1288" t="s">
        <v>40</v>
      </c>
      <c r="AE1288" t="str">
        <f t="shared" si="379"/>
        <v>03</v>
      </c>
      <c r="AF1288" t="s">
        <v>40</v>
      </c>
    </row>
    <row r="1289" spans="1:32" x14ac:dyDescent="0.25">
      <c r="A1289">
        <v>5</v>
      </c>
      <c r="B1289">
        <v>420</v>
      </c>
      <c r="C1289" t="str">
        <f>"51"</f>
        <v>51</v>
      </c>
      <c r="D1289">
        <v>6319</v>
      </c>
      <c r="E1289" t="str">
        <f t="shared" si="382"/>
        <v>00</v>
      </c>
      <c r="F1289" t="str">
        <f t="shared" si="384"/>
        <v>999</v>
      </c>
      <c r="G1289">
        <v>5</v>
      </c>
      <c r="H1289" t="str">
        <f t="shared" si="386"/>
        <v>99</v>
      </c>
      <c r="I1289" t="str">
        <f t="shared" si="383"/>
        <v>0</v>
      </c>
      <c r="J1289" t="str">
        <f t="shared" si="385"/>
        <v>00</v>
      </c>
      <c r="K1289">
        <v>20150327</v>
      </c>
      <c r="L1289" t="str">
        <f>"014867"</f>
        <v>014867</v>
      </c>
      <c r="M1289" t="str">
        <f>"00044"</f>
        <v>00044</v>
      </c>
      <c r="N1289" t="s">
        <v>644</v>
      </c>
      <c r="O1289" s="1">
        <v>1343.48</v>
      </c>
      <c r="Q1289" t="s">
        <v>33</v>
      </c>
      <c r="R1289" t="s">
        <v>34</v>
      </c>
      <c r="S1289" t="s">
        <v>35</v>
      </c>
      <c r="T1289" t="s">
        <v>35</v>
      </c>
      <c r="U1289" t="s">
        <v>34</v>
      </c>
      <c r="V1289" t="str">
        <f>""</f>
        <v/>
      </c>
      <c r="W1289">
        <v>20150327</v>
      </c>
      <c r="X1289" t="s">
        <v>185</v>
      </c>
      <c r="Y1289" t="s">
        <v>781</v>
      </c>
      <c r="Z1289" t="s">
        <v>781</v>
      </c>
      <c r="AA1289">
        <v>0</v>
      </c>
      <c r="AB1289" t="s">
        <v>142</v>
      </c>
      <c r="AC1289" t="s">
        <v>143</v>
      </c>
      <c r="AD1289" t="s">
        <v>40</v>
      </c>
      <c r="AE1289" t="str">
        <f t="shared" si="379"/>
        <v>03</v>
      </c>
      <c r="AF1289" t="s">
        <v>40</v>
      </c>
    </row>
    <row r="1290" spans="1:32" x14ac:dyDescent="0.25">
      <c r="A1290">
        <v>5</v>
      </c>
      <c r="B1290">
        <v>240</v>
      </c>
      <c r="C1290" t="str">
        <f>"35"</f>
        <v>35</v>
      </c>
      <c r="D1290">
        <v>6341</v>
      </c>
      <c r="E1290" t="str">
        <f t="shared" si="382"/>
        <v>00</v>
      </c>
      <c r="F1290" t="str">
        <f t="shared" si="384"/>
        <v>999</v>
      </c>
      <c r="G1290">
        <v>5</v>
      </c>
      <c r="H1290" t="str">
        <f t="shared" si="386"/>
        <v>99</v>
      </c>
      <c r="I1290" t="str">
        <f t="shared" si="383"/>
        <v>0</v>
      </c>
      <c r="J1290" t="str">
        <f t="shared" si="385"/>
        <v>00</v>
      </c>
      <c r="K1290">
        <v>20150327</v>
      </c>
      <c r="L1290" t="str">
        <f>"014868"</f>
        <v>014868</v>
      </c>
      <c r="M1290" t="str">
        <f>"00048"</f>
        <v>00048</v>
      </c>
      <c r="N1290" t="s">
        <v>647</v>
      </c>
      <c r="O1290">
        <v>108</v>
      </c>
      <c r="Q1290" t="s">
        <v>33</v>
      </c>
      <c r="R1290" t="s">
        <v>34</v>
      </c>
      <c r="S1290" t="s">
        <v>35</v>
      </c>
      <c r="T1290" t="s">
        <v>35</v>
      </c>
      <c r="U1290" t="s">
        <v>34</v>
      </c>
      <c r="V1290" t="str">
        <f>""</f>
        <v/>
      </c>
      <c r="W1290">
        <v>20150327</v>
      </c>
      <c r="X1290" t="s">
        <v>268</v>
      </c>
      <c r="Y1290" t="s">
        <v>310</v>
      </c>
      <c r="Z1290" t="s">
        <v>310</v>
      </c>
      <c r="AA1290">
        <v>0</v>
      </c>
      <c r="AB1290" t="s">
        <v>238</v>
      </c>
      <c r="AC1290" t="s">
        <v>143</v>
      </c>
      <c r="AD1290" t="s">
        <v>40</v>
      </c>
      <c r="AE1290" t="str">
        <f t="shared" si="379"/>
        <v>03</v>
      </c>
      <c r="AF1290" t="s">
        <v>40</v>
      </c>
    </row>
    <row r="1291" spans="1:32" x14ac:dyDescent="0.25">
      <c r="A1291">
        <v>5</v>
      </c>
      <c r="B1291">
        <v>240</v>
      </c>
      <c r="C1291" t="str">
        <f>"35"</f>
        <v>35</v>
      </c>
      <c r="D1291">
        <v>6341</v>
      </c>
      <c r="E1291" t="str">
        <f t="shared" si="382"/>
        <v>00</v>
      </c>
      <c r="F1291" t="str">
        <f t="shared" si="384"/>
        <v>999</v>
      </c>
      <c r="G1291">
        <v>5</v>
      </c>
      <c r="H1291" t="str">
        <f t="shared" si="386"/>
        <v>99</v>
      </c>
      <c r="I1291" t="str">
        <f t="shared" si="383"/>
        <v>0</v>
      </c>
      <c r="J1291" t="str">
        <f t="shared" si="385"/>
        <v>00</v>
      </c>
      <c r="K1291">
        <v>20150327</v>
      </c>
      <c r="L1291" t="str">
        <f>"014868"</f>
        <v>014868</v>
      </c>
      <c r="M1291" t="str">
        <f>"00048"</f>
        <v>00048</v>
      </c>
      <c r="N1291" t="s">
        <v>647</v>
      </c>
      <c r="O1291">
        <v>111.24</v>
      </c>
      <c r="Q1291" t="s">
        <v>33</v>
      </c>
      <c r="R1291" t="s">
        <v>34</v>
      </c>
      <c r="S1291" t="s">
        <v>35</v>
      </c>
      <c r="T1291" t="s">
        <v>35</v>
      </c>
      <c r="U1291" t="s">
        <v>34</v>
      </c>
      <c r="V1291" t="str">
        <f>""</f>
        <v/>
      </c>
      <c r="W1291">
        <v>20150327</v>
      </c>
      <c r="X1291" t="s">
        <v>268</v>
      </c>
      <c r="Y1291" t="s">
        <v>310</v>
      </c>
      <c r="Z1291" t="s">
        <v>310</v>
      </c>
      <c r="AA1291">
        <v>0</v>
      </c>
      <c r="AB1291" t="s">
        <v>238</v>
      </c>
      <c r="AC1291" t="s">
        <v>143</v>
      </c>
      <c r="AD1291" t="s">
        <v>40</v>
      </c>
      <c r="AE1291" t="str">
        <f t="shared" si="379"/>
        <v>03</v>
      </c>
      <c r="AF1291" t="s">
        <v>40</v>
      </c>
    </row>
    <row r="1292" spans="1:32" x14ac:dyDescent="0.25">
      <c r="A1292">
        <v>5</v>
      </c>
      <c r="B1292">
        <v>420</v>
      </c>
      <c r="C1292" t="str">
        <f>"11"</f>
        <v>11</v>
      </c>
      <c r="D1292">
        <v>6399</v>
      </c>
      <c r="E1292" t="str">
        <f t="shared" si="382"/>
        <v>00</v>
      </c>
      <c r="F1292" t="str">
        <f t="shared" si="384"/>
        <v>999</v>
      </c>
      <c r="G1292">
        <v>5</v>
      </c>
      <c r="H1292" t="str">
        <f>"11"</f>
        <v>11</v>
      </c>
      <c r="I1292" t="str">
        <f t="shared" si="383"/>
        <v>0</v>
      </c>
      <c r="J1292" t="str">
        <f t="shared" si="385"/>
        <v>00</v>
      </c>
      <c r="K1292">
        <v>20150327</v>
      </c>
      <c r="L1292" t="str">
        <f>"014869"</f>
        <v>014869</v>
      </c>
      <c r="M1292" t="str">
        <f>"00094"</f>
        <v>00094</v>
      </c>
      <c r="N1292" t="s">
        <v>782</v>
      </c>
      <c r="O1292" s="1">
        <v>4750.1099999999997</v>
      </c>
      <c r="Q1292" t="s">
        <v>33</v>
      </c>
      <c r="R1292" t="s">
        <v>34</v>
      </c>
      <c r="S1292" t="s">
        <v>35</v>
      </c>
      <c r="T1292" t="s">
        <v>35</v>
      </c>
      <c r="U1292" t="s">
        <v>34</v>
      </c>
      <c r="V1292" t="str">
        <f>""</f>
        <v/>
      </c>
      <c r="W1292">
        <v>20150327</v>
      </c>
      <c r="X1292" t="s">
        <v>385</v>
      </c>
      <c r="Y1292" t="s">
        <v>386</v>
      </c>
      <c r="Z1292" t="s">
        <v>386</v>
      </c>
      <c r="AA1292">
        <v>0</v>
      </c>
      <c r="AB1292" t="s">
        <v>142</v>
      </c>
      <c r="AC1292" t="s">
        <v>143</v>
      </c>
      <c r="AD1292" t="s">
        <v>40</v>
      </c>
      <c r="AE1292" t="str">
        <f t="shared" si="379"/>
        <v>03</v>
      </c>
      <c r="AF1292" t="s">
        <v>40</v>
      </c>
    </row>
    <row r="1293" spans="1:32" x14ac:dyDescent="0.25">
      <c r="A1293">
        <v>5</v>
      </c>
      <c r="B1293">
        <v>420</v>
      </c>
      <c r="C1293" t="str">
        <f>"51"</f>
        <v>51</v>
      </c>
      <c r="D1293">
        <v>6219</v>
      </c>
      <c r="E1293" t="str">
        <f t="shared" si="382"/>
        <v>00</v>
      </c>
      <c r="F1293" t="str">
        <f t="shared" si="384"/>
        <v>999</v>
      </c>
      <c r="G1293">
        <v>5</v>
      </c>
      <c r="H1293" t="str">
        <f>"99"</f>
        <v>99</v>
      </c>
      <c r="I1293" t="str">
        <f t="shared" si="383"/>
        <v>0</v>
      </c>
      <c r="J1293" t="str">
        <f t="shared" si="385"/>
        <v>00</v>
      </c>
      <c r="K1293">
        <v>20150327</v>
      </c>
      <c r="L1293" t="str">
        <f>"014870"</f>
        <v>014870</v>
      </c>
      <c r="M1293" t="str">
        <f>"00102"</f>
        <v>00102</v>
      </c>
      <c r="N1293" t="s">
        <v>367</v>
      </c>
      <c r="O1293">
        <v>145</v>
      </c>
      <c r="Q1293" t="s">
        <v>33</v>
      </c>
      <c r="R1293" t="s">
        <v>34</v>
      </c>
      <c r="S1293" t="s">
        <v>35</v>
      </c>
      <c r="T1293" t="s">
        <v>35</v>
      </c>
      <c r="U1293" t="s">
        <v>34</v>
      </c>
      <c r="V1293" t="str">
        <f>""</f>
        <v/>
      </c>
      <c r="W1293">
        <v>20150327</v>
      </c>
      <c r="X1293" t="s">
        <v>183</v>
      </c>
      <c r="Y1293" t="s">
        <v>368</v>
      </c>
      <c r="Z1293" t="s">
        <v>368</v>
      </c>
      <c r="AA1293">
        <v>0</v>
      </c>
      <c r="AB1293" t="s">
        <v>142</v>
      </c>
      <c r="AC1293" t="s">
        <v>143</v>
      </c>
      <c r="AD1293" t="s">
        <v>40</v>
      </c>
      <c r="AE1293" t="str">
        <f t="shared" si="379"/>
        <v>03</v>
      </c>
      <c r="AF1293" t="s">
        <v>40</v>
      </c>
    </row>
    <row r="1294" spans="1:32" x14ac:dyDescent="0.25">
      <c r="A1294">
        <v>5</v>
      </c>
      <c r="B1294">
        <v>420</v>
      </c>
      <c r="C1294" t="str">
        <f>"51"</f>
        <v>51</v>
      </c>
      <c r="D1294">
        <v>6319</v>
      </c>
      <c r="E1294" t="str">
        <f t="shared" si="382"/>
        <v>00</v>
      </c>
      <c r="F1294" t="str">
        <f t="shared" si="384"/>
        <v>999</v>
      </c>
      <c r="G1294">
        <v>5</v>
      </c>
      <c r="H1294" t="str">
        <f>"99"</f>
        <v>99</v>
      </c>
      <c r="I1294" t="str">
        <f t="shared" si="383"/>
        <v>0</v>
      </c>
      <c r="J1294" t="str">
        <f t="shared" si="385"/>
        <v>00</v>
      </c>
      <c r="K1294">
        <v>20150327</v>
      </c>
      <c r="L1294" t="str">
        <f>"014871"</f>
        <v>014871</v>
      </c>
      <c r="M1294" t="str">
        <f>"00671"</f>
        <v>00671</v>
      </c>
      <c r="N1294" t="s">
        <v>605</v>
      </c>
      <c r="O1294">
        <v>177.94</v>
      </c>
      <c r="Q1294" t="s">
        <v>33</v>
      </c>
      <c r="R1294" t="s">
        <v>34</v>
      </c>
      <c r="S1294" t="s">
        <v>35</v>
      </c>
      <c r="T1294" t="s">
        <v>35</v>
      </c>
      <c r="U1294" t="s">
        <v>34</v>
      </c>
      <c r="V1294" t="str">
        <f>""</f>
        <v/>
      </c>
      <c r="W1294">
        <v>20150327</v>
      </c>
      <c r="X1294" t="s">
        <v>185</v>
      </c>
      <c r="Y1294" t="s">
        <v>783</v>
      </c>
      <c r="Z1294" t="s">
        <v>783</v>
      </c>
      <c r="AA1294">
        <v>0</v>
      </c>
      <c r="AB1294" t="s">
        <v>142</v>
      </c>
      <c r="AC1294" t="s">
        <v>143</v>
      </c>
      <c r="AD1294" t="s">
        <v>40</v>
      </c>
      <c r="AE1294" t="str">
        <f t="shared" si="379"/>
        <v>03</v>
      </c>
      <c r="AF1294" t="s">
        <v>40</v>
      </c>
    </row>
    <row r="1295" spans="1:32" x14ac:dyDescent="0.25">
      <c r="A1295">
        <v>5</v>
      </c>
      <c r="B1295">
        <v>211</v>
      </c>
      <c r="C1295" t="str">
        <f>"11"</f>
        <v>11</v>
      </c>
      <c r="D1295">
        <v>6399</v>
      </c>
      <c r="E1295" t="str">
        <f t="shared" si="382"/>
        <v>00</v>
      </c>
      <c r="F1295" t="str">
        <f>"041"</f>
        <v>041</v>
      </c>
      <c r="G1295">
        <v>5</v>
      </c>
      <c r="H1295" t="str">
        <f>"30"</f>
        <v>30</v>
      </c>
      <c r="I1295" t="str">
        <f t="shared" si="383"/>
        <v>0</v>
      </c>
      <c r="J1295" t="str">
        <f t="shared" si="385"/>
        <v>00</v>
      </c>
      <c r="K1295">
        <v>20150327</v>
      </c>
      <c r="L1295" t="str">
        <f>"014872"</f>
        <v>014872</v>
      </c>
      <c r="M1295" t="str">
        <f>"00122"</f>
        <v>00122</v>
      </c>
      <c r="N1295" t="s">
        <v>443</v>
      </c>
      <c r="O1295">
        <v>75.569999999999993</v>
      </c>
      <c r="Q1295" t="s">
        <v>33</v>
      </c>
      <c r="R1295" t="s">
        <v>34</v>
      </c>
      <c r="S1295" t="s">
        <v>35</v>
      </c>
      <c r="T1295" t="s">
        <v>35</v>
      </c>
      <c r="U1295" t="s">
        <v>34</v>
      </c>
      <c r="V1295" t="str">
        <f>""</f>
        <v/>
      </c>
      <c r="W1295">
        <v>20150327</v>
      </c>
      <c r="X1295" t="s">
        <v>417</v>
      </c>
      <c r="Y1295" t="s">
        <v>784</v>
      </c>
      <c r="Z1295" t="s">
        <v>784</v>
      </c>
      <c r="AA1295">
        <v>0</v>
      </c>
      <c r="AB1295" t="s">
        <v>174</v>
      </c>
      <c r="AC1295" t="s">
        <v>41</v>
      </c>
      <c r="AD1295" t="s">
        <v>40</v>
      </c>
      <c r="AE1295" t="str">
        <f t="shared" si="379"/>
        <v>03</v>
      </c>
      <c r="AF1295" t="s">
        <v>40</v>
      </c>
    </row>
    <row r="1296" spans="1:32" x14ac:dyDescent="0.25">
      <c r="A1296">
        <v>5</v>
      </c>
      <c r="B1296">
        <v>211</v>
      </c>
      <c r="C1296" t="str">
        <f>"11"</f>
        <v>11</v>
      </c>
      <c r="D1296">
        <v>6399</v>
      </c>
      <c r="E1296" t="str">
        <f t="shared" si="382"/>
        <v>00</v>
      </c>
      <c r="F1296" t="str">
        <f>"101"</f>
        <v>101</v>
      </c>
      <c r="G1296">
        <v>5</v>
      </c>
      <c r="H1296" t="str">
        <f>"30"</f>
        <v>30</v>
      </c>
      <c r="I1296" t="str">
        <f t="shared" si="383"/>
        <v>0</v>
      </c>
      <c r="J1296" t="str">
        <f>"28"</f>
        <v>28</v>
      </c>
      <c r="K1296">
        <v>20150327</v>
      </c>
      <c r="L1296" t="str">
        <f>"014872"</f>
        <v>014872</v>
      </c>
      <c r="M1296" t="str">
        <f>"00122"</f>
        <v>00122</v>
      </c>
      <c r="N1296" t="s">
        <v>443</v>
      </c>
      <c r="O1296">
        <v>125.95</v>
      </c>
      <c r="Q1296" t="s">
        <v>33</v>
      </c>
      <c r="R1296" t="s">
        <v>34</v>
      </c>
      <c r="S1296" t="s">
        <v>35</v>
      </c>
      <c r="T1296" t="s">
        <v>35</v>
      </c>
      <c r="U1296" t="s">
        <v>34</v>
      </c>
      <c r="V1296" t="str">
        <f>""</f>
        <v/>
      </c>
      <c r="W1296">
        <v>20150327</v>
      </c>
      <c r="X1296" t="s">
        <v>690</v>
      </c>
      <c r="Y1296" t="s">
        <v>784</v>
      </c>
      <c r="Z1296" t="s">
        <v>784</v>
      </c>
      <c r="AA1296">
        <v>0</v>
      </c>
      <c r="AB1296" t="s">
        <v>174</v>
      </c>
      <c r="AC1296" t="s">
        <v>41</v>
      </c>
      <c r="AD1296" t="s">
        <v>40</v>
      </c>
      <c r="AE1296" t="str">
        <f t="shared" si="379"/>
        <v>03</v>
      </c>
      <c r="AF1296" t="s">
        <v>40</v>
      </c>
    </row>
    <row r="1297" spans="1:32" x14ac:dyDescent="0.25">
      <c r="A1297">
        <v>5</v>
      </c>
      <c r="B1297">
        <v>420</v>
      </c>
      <c r="C1297" t="str">
        <f>"61"</f>
        <v>61</v>
      </c>
      <c r="D1297">
        <v>6219</v>
      </c>
      <c r="E1297" t="str">
        <f t="shared" si="382"/>
        <v>00</v>
      </c>
      <c r="F1297" t="str">
        <f t="shared" ref="F1297:F1318" si="387">"999"</f>
        <v>999</v>
      </c>
      <c r="G1297">
        <v>5</v>
      </c>
      <c r="H1297" t="str">
        <f>"11"</f>
        <v>11</v>
      </c>
      <c r="I1297" t="str">
        <f t="shared" si="383"/>
        <v>0</v>
      </c>
      <c r="J1297" t="str">
        <f t="shared" ref="J1297:J1328" si="388">"00"</f>
        <v>00</v>
      </c>
      <c r="K1297">
        <v>20150327</v>
      </c>
      <c r="L1297" t="str">
        <f>"014873"</f>
        <v>014873</v>
      </c>
      <c r="M1297" t="str">
        <f>"00566"</f>
        <v>00566</v>
      </c>
      <c r="N1297" t="s">
        <v>221</v>
      </c>
      <c r="O1297">
        <v>67</v>
      </c>
      <c r="Q1297" t="s">
        <v>33</v>
      </c>
      <c r="R1297" t="s">
        <v>34</v>
      </c>
      <c r="S1297" t="s">
        <v>35</v>
      </c>
      <c r="T1297" t="s">
        <v>35</v>
      </c>
      <c r="U1297" t="s">
        <v>34</v>
      </c>
      <c r="V1297" t="str">
        <f>""</f>
        <v/>
      </c>
      <c r="W1297">
        <v>20150327</v>
      </c>
      <c r="X1297" t="s">
        <v>222</v>
      </c>
      <c r="Y1297" t="s">
        <v>223</v>
      </c>
      <c r="Z1297" t="s">
        <v>223</v>
      </c>
      <c r="AA1297">
        <v>0</v>
      </c>
      <c r="AB1297" t="s">
        <v>142</v>
      </c>
      <c r="AC1297" t="s">
        <v>143</v>
      </c>
      <c r="AD1297" t="s">
        <v>40</v>
      </c>
      <c r="AE1297" t="str">
        <f t="shared" si="379"/>
        <v>03</v>
      </c>
      <c r="AF1297" t="s">
        <v>40</v>
      </c>
    </row>
    <row r="1298" spans="1:32" x14ac:dyDescent="0.25">
      <c r="A1298">
        <v>5</v>
      </c>
      <c r="B1298">
        <v>240</v>
      </c>
      <c r="C1298" t="str">
        <f t="shared" ref="C1298:C1312" si="389">"35"</f>
        <v>35</v>
      </c>
      <c r="D1298">
        <v>6341</v>
      </c>
      <c r="E1298" t="str">
        <f t="shared" si="382"/>
        <v>00</v>
      </c>
      <c r="F1298" t="str">
        <f t="shared" si="387"/>
        <v>999</v>
      </c>
      <c r="G1298">
        <v>5</v>
      </c>
      <c r="H1298" t="str">
        <f t="shared" ref="H1298:H1318" si="390">"99"</f>
        <v>99</v>
      </c>
      <c r="I1298" t="str">
        <f t="shared" si="383"/>
        <v>0</v>
      </c>
      <c r="J1298" t="str">
        <f t="shared" si="388"/>
        <v>00</v>
      </c>
      <c r="K1298">
        <v>20150327</v>
      </c>
      <c r="L1298" t="str">
        <f t="shared" ref="L1298:L1304" si="391">"014874"</f>
        <v>014874</v>
      </c>
      <c r="M1298" t="str">
        <f t="shared" ref="M1298:M1304" si="392">"00410"</f>
        <v>00410</v>
      </c>
      <c r="N1298" t="s">
        <v>324</v>
      </c>
      <c r="O1298">
        <v>395.2</v>
      </c>
      <c r="Q1298" t="s">
        <v>33</v>
      </c>
      <c r="R1298" t="s">
        <v>34</v>
      </c>
      <c r="S1298" t="s">
        <v>35</v>
      </c>
      <c r="T1298" t="s">
        <v>35</v>
      </c>
      <c r="U1298" t="s">
        <v>34</v>
      </c>
      <c r="V1298" t="str">
        <f>""</f>
        <v/>
      </c>
      <c r="W1298">
        <v>20150327</v>
      </c>
      <c r="X1298" t="s">
        <v>268</v>
      </c>
      <c r="Y1298" t="s">
        <v>310</v>
      </c>
      <c r="Z1298" t="s">
        <v>310</v>
      </c>
      <c r="AA1298">
        <v>0</v>
      </c>
      <c r="AB1298" t="s">
        <v>238</v>
      </c>
      <c r="AC1298" t="s">
        <v>143</v>
      </c>
      <c r="AD1298" t="s">
        <v>40</v>
      </c>
      <c r="AE1298" t="str">
        <f t="shared" si="379"/>
        <v>03</v>
      </c>
      <c r="AF1298" t="s">
        <v>40</v>
      </c>
    </row>
    <row r="1299" spans="1:32" x14ac:dyDescent="0.25">
      <c r="A1299">
        <v>5</v>
      </c>
      <c r="B1299">
        <v>240</v>
      </c>
      <c r="C1299" t="str">
        <f t="shared" si="389"/>
        <v>35</v>
      </c>
      <c r="D1299">
        <v>6341</v>
      </c>
      <c r="E1299" t="str">
        <f t="shared" si="382"/>
        <v>00</v>
      </c>
      <c r="F1299" t="str">
        <f t="shared" si="387"/>
        <v>999</v>
      </c>
      <c r="G1299">
        <v>5</v>
      </c>
      <c r="H1299" t="str">
        <f t="shared" si="390"/>
        <v>99</v>
      </c>
      <c r="I1299" t="str">
        <f t="shared" si="383"/>
        <v>0</v>
      </c>
      <c r="J1299" t="str">
        <f t="shared" si="388"/>
        <v>00</v>
      </c>
      <c r="K1299">
        <v>20150327</v>
      </c>
      <c r="L1299" t="str">
        <f t="shared" si="391"/>
        <v>014874</v>
      </c>
      <c r="M1299" t="str">
        <f t="shared" si="392"/>
        <v>00410</v>
      </c>
      <c r="N1299" t="s">
        <v>324</v>
      </c>
      <c r="O1299">
        <v>407.55</v>
      </c>
      <c r="Q1299" t="s">
        <v>33</v>
      </c>
      <c r="R1299" t="s">
        <v>34</v>
      </c>
      <c r="S1299" t="s">
        <v>35</v>
      </c>
      <c r="T1299" t="s">
        <v>35</v>
      </c>
      <c r="U1299" t="s">
        <v>34</v>
      </c>
      <c r="V1299" t="str">
        <f>""</f>
        <v/>
      </c>
      <c r="W1299">
        <v>20150327</v>
      </c>
      <c r="X1299" t="s">
        <v>268</v>
      </c>
      <c r="Y1299" t="s">
        <v>310</v>
      </c>
      <c r="Z1299" t="s">
        <v>310</v>
      </c>
      <c r="AA1299">
        <v>0</v>
      </c>
      <c r="AB1299" t="s">
        <v>238</v>
      </c>
      <c r="AC1299" t="s">
        <v>143</v>
      </c>
      <c r="AD1299" t="s">
        <v>40</v>
      </c>
      <c r="AE1299" t="str">
        <f t="shared" si="379"/>
        <v>03</v>
      </c>
      <c r="AF1299" t="s">
        <v>40</v>
      </c>
    </row>
    <row r="1300" spans="1:32" x14ac:dyDescent="0.25">
      <c r="A1300">
        <v>5</v>
      </c>
      <c r="B1300">
        <v>240</v>
      </c>
      <c r="C1300" t="str">
        <f t="shared" si="389"/>
        <v>35</v>
      </c>
      <c r="D1300">
        <v>6341</v>
      </c>
      <c r="E1300" t="str">
        <f t="shared" si="382"/>
        <v>00</v>
      </c>
      <c r="F1300" t="str">
        <f t="shared" si="387"/>
        <v>999</v>
      </c>
      <c r="G1300">
        <v>5</v>
      </c>
      <c r="H1300" t="str">
        <f t="shared" si="390"/>
        <v>99</v>
      </c>
      <c r="I1300" t="str">
        <f t="shared" si="383"/>
        <v>0</v>
      </c>
      <c r="J1300" t="str">
        <f t="shared" si="388"/>
        <v>00</v>
      </c>
      <c r="K1300">
        <v>20150327</v>
      </c>
      <c r="L1300" t="str">
        <f t="shared" si="391"/>
        <v>014874</v>
      </c>
      <c r="M1300" t="str">
        <f t="shared" si="392"/>
        <v>00410</v>
      </c>
      <c r="N1300" t="s">
        <v>324</v>
      </c>
      <c r="O1300">
        <v>444.6</v>
      </c>
      <c r="Q1300" t="s">
        <v>33</v>
      </c>
      <c r="R1300" t="s">
        <v>34</v>
      </c>
      <c r="S1300" t="s">
        <v>35</v>
      </c>
      <c r="T1300" t="s">
        <v>35</v>
      </c>
      <c r="U1300" t="s">
        <v>34</v>
      </c>
      <c r="V1300" t="str">
        <f>""</f>
        <v/>
      </c>
      <c r="W1300">
        <v>20150327</v>
      </c>
      <c r="X1300" t="s">
        <v>268</v>
      </c>
      <c r="Y1300" t="s">
        <v>310</v>
      </c>
      <c r="Z1300" t="s">
        <v>310</v>
      </c>
      <c r="AA1300">
        <v>0</v>
      </c>
      <c r="AB1300" t="s">
        <v>238</v>
      </c>
      <c r="AC1300" t="s">
        <v>143</v>
      </c>
      <c r="AD1300" t="s">
        <v>40</v>
      </c>
      <c r="AE1300" t="str">
        <f t="shared" si="379"/>
        <v>03</v>
      </c>
      <c r="AF1300" t="s">
        <v>40</v>
      </c>
    </row>
    <row r="1301" spans="1:32" x14ac:dyDescent="0.25">
      <c r="A1301">
        <v>5</v>
      </c>
      <c r="B1301">
        <v>240</v>
      </c>
      <c r="C1301" t="str">
        <f t="shared" si="389"/>
        <v>35</v>
      </c>
      <c r="D1301">
        <v>6341</v>
      </c>
      <c r="E1301" t="str">
        <f t="shared" si="382"/>
        <v>00</v>
      </c>
      <c r="F1301" t="str">
        <f t="shared" si="387"/>
        <v>999</v>
      </c>
      <c r="G1301">
        <v>5</v>
      </c>
      <c r="H1301" t="str">
        <f t="shared" si="390"/>
        <v>99</v>
      </c>
      <c r="I1301" t="str">
        <f t="shared" si="383"/>
        <v>0</v>
      </c>
      <c r="J1301" t="str">
        <f t="shared" si="388"/>
        <v>00</v>
      </c>
      <c r="K1301">
        <v>20150327</v>
      </c>
      <c r="L1301" t="str">
        <f t="shared" si="391"/>
        <v>014874</v>
      </c>
      <c r="M1301" t="str">
        <f t="shared" si="392"/>
        <v>00410</v>
      </c>
      <c r="N1301" t="s">
        <v>324</v>
      </c>
      <c r="O1301">
        <v>395.2</v>
      </c>
      <c r="Q1301" t="s">
        <v>33</v>
      </c>
      <c r="R1301" t="s">
        <v>34</v>
      </c>
      <c r="S1301" t="s">
        <v>35</v>
      </c>
      <c r="T1301" t="s">
        <v>35</v>
      </c>
      <c r="U1301" t="s">
        <v>34</v>
      </c>
      <c r="V1301" t="str">
        <f>""</f>
        <v/>
      </c>
      <c r="W1301">
        <v>20150327</v>
      </c>
      <c r="X1301" t="s">
        <v>268</v>
      </c>
      <c r="Y1301" t="s">
        <v>310</v>
      </c>
      <c r="Z1301" t="s">
        <v>310</v>
      </c>
      <c r="AA1301">
        <v>0</v>
      </c>
      <c r="AB1301" t="s">
        <v>238</v>
      </c>
      <c r="AC1301" t="s">
        <v>143</v>
      </c>
      <c r="AD1301" t="s">
        <v>40</v>
      </c>
      <c r="AE1301" t="str">
        <f t="shared" si="379"/>
        <v>03</v>
      </c>
      <c r="AF1301" t="s">
        <v>40</v>
      </c>
    </row>
    <row r="1302" spans="1:32" x14ac:dyDescent="0.25">
      <c r="A1302">
        <v>5</v>
      </c>
      <c r="B1302">
        <v>240</v>
      </c>
      <c r="C1302" t="str">
        <f t="shared" si="389"/>
        <v>35</v>
      </c>
      <c r="D1302">
        <v>6341</v>
      </c>
      <c r="E1302" t="str">
        <f t="shared" si="382"/>
        <v>00</v>
      </c>
      <c r="F1302" t="str">
        <f t="shared" si="387"/>
        <v>999</v>
      </c>
      <c r="G1302">
        <v>5</v>
      </c>
      <c r="H1302" t="str">
        <f t="shared" si="390"/>
        <v>99</v>
      </c>
      <c r="I1302" t="str">
        <f t="shared" si="383"/>
        <v>0</v>
      </c>
      <c r="J1302" t="str">
        <f t="shared" si="388"/>
        <v>00</v>
      </c>
      <c r="K1302">
        <v>20150327</v>
      </c>
      <c r="L1302" t="str">
        <f t="shared" si="391"/>
        <v>014874</v>
      </c>
      <c r="M1302" t="str">
        <f t="shared" si="392"/>
        <v>00410</v>
      </c>
      <c r="N1302" t="s">
        <v>324</v>
      </c>
      <c r="O1302">
        <v>419.9</v>
      </c>
      <c r="Q1302" t="s">
        <v>33</v>
      </c>
      <c r="R1302" t="s">
        <v>34</v>
      </c>
      <c r="S1302" t="s">
        <v>35</v>
      </c>
      <c r="T1302" t="s">
        <v>35</v>
      </c>
      <c r="U1302" t="s">
        <v>34</v>
      </c>
      <c r="V1302" t="str">
        <f>""</f>
        <v/>
      </c>
      <c r="W1302">
        <v>20150327</v>
      </c>
      <c r="X1302" t="s">
        <v>268</v>
      </c>
      <c r="Y1302" t="s">
        <v>310</v>
      </c>
      <c r="Z1302" t="s">
        <v>310</v>
      </c>
      <c r="AA1302">
        <v>0</v>
      </c>
      <c r="AB1302" t="s">
        <v>238</v>
      </c>
      <c r="AC1302" t="s">
        <v>143</v>
      </c>
      <c r="AD1302" t="s">
        <v>40</v>
      </c>
      <c r="AE1302" t="str">
        <f t="shared" si="379"/>
        <v>03</v>
      </c>
      <c r="AF1302" t="s">
        <v>40</v>
      </c>
    </row>
    <row r="1303" spans="1:32" x14ac:dyDescent="0.25">
      <c r="A1303">
        <v>5</v>
      </c>
      <c r="B1303">
        <v>240</v>
      </c>
      <c r="C1303" t="str">
        <f t="shared" si="389"/>
        <v>35</v>
      </c>
      <c r="D1303">
        <v>6341</v>
      </c>
      <c r="E1303" t="str">
        <f t="shared" si="382"/>
        <v>00</v>
      </c>
      <c r="F1303" t="str">
        <f t="shared" si="387"/>
        <v>999</v>
      </c>
      <c r="G1303">
        <v>5</v>
      </c>
      <c r="H1303" t="str">
        <f t="shared" si="390"/>
        <v>99</v>
      </c>
      <c r="I1303" t="str">
        <f t="shared" si="383"/>
        <v>0</v>
      </c>
      <c r="J1303" t="str">
        <f t="shared" si="388"/>
        <v>00</v>
      </c>
      <c r="K1303">
        <v>20150327</v>
      </c>
      <c r="L1303" t="str">
        <f t="shared" si="391"/>
        <v>014874</v>
      </c>
      <c r="M1303" t="str">
        <f t="shared" si="392"/>
        <v>00410</v>
      </c>
      <c r="N1303" t="s">
        <v>324</v>
      </c>
      <c r="O1303">
        <v>370.5</v>
      </c>
      <c r="Q1303" t="s">
        <v>33</v>
      </c>
      <c r="R1303" t="s">
        <v>34</v>
      </c>
      <c r="S1303" t="s">
        <v>35</v>
      </c>
      <c r="T1303" t="s">
        <v>35</v>
      </c>
      <c r="U1303" t="s">
        <v>34</v>
      </c>
      <c r="V1303" t="str">
        <f>""</f>
        <v/>
      </c>
      <c r="W1303">
        <v>20150327</v>
      </c>
      <c r="X1303" t="s">
        <v>268</v>
      </c>
      <c r="Y1303" t="s">
        <v>310</v>
      </c>
      <c r="Z1303" t="s">
        <v>310</v>
      </c>
      <c r="AA1303">
        <v>0</v>
      </c>
      <c r="AB1303" t="s">
        <v>238</v>
      </c>
      <c r="AC1303" t="s">
        <v>143</v>
      </c>
      <c r="AD1303" t="s">
        <v>40</v>
      </c>
      <c r="AE1303" t="str">
        <f t="shared" si="379"/>
        <v>03</v>
      </c>
      <c r="AF1303" t="s">
        <v>40</v>
      </c>
    </row>
    <row r="1304" spans="1:32" x14ac:dyDescent="0.25">
      <c r="A1304">
        <v>5</v>
      </c>
      <c r="B1304">
        <v>240</v>
      </c>
      <c r="C1304" t="str">
        <f t="shared" si="389"/>
        <v>35</v>
      </c>
      <c r="D1304">
        <v>6341</v>
      </c>
      <c r="E1304" t="str">
        <f t="shared" si="382"/>
        <v>00</v>
      </c>
      <c r="F1304" t="str">
        <f t="shared" si="387"/>
        <v>999</v>
      </c>
      <c r="G1304">
        <v>5</v>
      </c>
      <c r="H1304" t="str">
        <f t="shared" si="390"/>
        <v>99</v>
      </c>
      <c r="I1304" t="str">
        <f t="shared" si="383"/>
        <v>0</v>
      </c>
      <c r="J1304" t="str">
        <f t="shared" si="388"/>
        <v>00</v>
      </c>
      <c r="K1304">
        <v>20150327</v>
      </c>
      <c r="L1304" t="str">
        <f t="shared" si="391"/>
        <v>014874</v>
      </c>
      <c r="M1304" t="str">
        <f t="shared" si="392"/>
        <v>00410</v>
      </c>
      <c r="N1304" t="s">
        <v>324</v>
      </c>
      <c r="O1304">
        <v>456.95</v>
      </c>
      <c r="Q1304" t="s">
        <v>33</v>
      </c>
      <c r="R1304" t="s">
        <v>34</v>
      </c>
      <c r="S1304" t="s">
        <v>35</v>
      </c>
      <c r="T1304" t="s">
        <v>35</v>
      </c>
      <c r="U1304" t="s">
        <v>34</v>
      </c>
      <c r="V1304" t="str">
        <f>""</f>
        <v/>
      </c>
      <c r="W1304">
        <v>20150327</v>
      </c>
      <c r="X1304" t="s">
        <v>268</v>
      </c>
      <c r="Y1304" t="s">
        <v>310</v>
      </c>
      <c r="Z1304" t="s">
        <v>310</v>
      </c>
      <c r="AA1304">
        <v>0</v>
      </c>
      <c r="AB1304" t="s">
        <v>238</v>
      </c>
      <c r="AC1304" t="s">
        <v>143</v>
      </c>
      <c r="AD1304" t="s">
        <v>40</v>
      </c>
      <c r="AE1304" t="str">
        <f t="shared" si="379"/>
        <v>03</v>
      </c>
      <c r="AF1304" t="s">
        <v>40</v>
      </c>
    </row>
    <row r="1305" spans="1:32" x14ac:dyDescent="0.25">
      <c r="A1305">
        <v>5</v>
      </c>
      <c r="B1305">
        <v>240</v>
      </c>
      <c r="C1305" t="str">
        <f t="shared" si="389"/>
        <v>35</v>
      </c>
      <c r="D1305">
        <v>6341</v>
      </c>
      <c r="E1305" t="str">
        <f t="shared" si="382"/>
        <v>00</v>
      </c>
      <c r="F1305" t="str">
        <f t="shared" si="387"/>
        <v>999</v>
      </c>
      <c r="G1305">
        <v>5</v>
      </c>
      <c r="H1305" t="str">
        <f t="shared" si="390"/>
        <v>99</v>
      </c>
      <c r="I1305" t="str">
        <f t="shared" si="383"/>
        <v>0</v>
      </c>
      <c r="J1305" t="str">
        <f t="shared" si="388"/>
        <v>00</v>
      </c>
      <c r="K1305">
        <v>20150327</v>
      </c>
      <c r="L1305" t="str">
        <f t="shared" ref="L1305:L1314" si="393">"014875"</f>
        <v>014875</v>
      </c>
      <c r="M1305" t="str">
        <f t="shared" ref="M1305:M1314" si="394">"00391"</f>
        <v>00391</v>
      </c>
      <c r="N1305" t="s">
        <v>265</v>
      </c>
      <c r="O1305">
        <v>48.39</v>
      </c>
      <c r="Q1305" t="s">
        <v>33</v>
      </c>
      <c r="R1305" t="s">
        <v>34</v>
      </c>
      <c r="S1305" t="s">
        <v>35</v>
      </c>
      <c r="T1305" t="s">
        <v>35</v>
      </c>
      <c r="U1305" t="s">
        <v>34</v>
      </c>
      <c r="V1305" t="str">
        <f>""</f>
        <v/>
      </c>
      <c r="W1305">
        <v>20150327</v>
      </c>
      <c r="X1305" t="s">
        <v>268</v>
      </c>
      <c r="Y1305" t="s">
        <v>266</v>
      </c>
      <c r="Z1305" t="s">
        <v>266</v>
      </c>
      <c r="AA1305">
        <v>0</v>
      </c>
      <c r="AB1305" t="s">
        <v>238</v>
      </c>
      <c r="AC1305" t="s">
        <v>143</v>
      </c>
      <c r="AD1305" t="s">
        <v>40</v>
      </c>
      <c r="AE1305" t="str">
        <f t="shared" si="379"/>
        <v>03</v>
      </c>
      <c r="AF1305" t="s">
        <v>40</v>
      </c>
    </row>
    <row r="1306" spans="1:32" x14ac:dyDescent="0.25">
      <c r="A1306">
        <v>5</v>
      </c>
      <c r="B1306">
        <v>240</v>
      </c>
      <c r="C1306" t="str">
        <f t="shared" si="389"/>
        <v>35</v>
      </c>
      <c r="D1306">
        <v>6341</v>
      </c>
      <c r="E1306" t="str">
        <f t="shared" si="382"/>
        <v>00</v>
      </c>
      <c r="F1306" t="str">
        <f t="shared" si="387"/>
        <v>999</v>
      </c>
      <c r="G1306">
        <v>5</v>
      </c>
      <c r="H1306" t="str">
        <f t="shared" si="390"/>
        <v>99</v>
      </c>
      <c r="I1306" t="str">
        <f t="shared" si="383"/>
        <v>0</v>
      </c>
      <c r="J1306" t="str">
        <f t="shared" si="388"/>
        <v>00</v>
      </c>
      <c r="K1306">
        <v>20150327</v>
      </c>
      <c r="L1306" t="str">
        <f t="shared" si="393"/>
        <v>014875</v>
      </c>
      <c r="M1306" t="str">
        <f t="shared" si="394"/>
        <v>00391</v>
      </c>
      <c r="N1306" t="s">
        <v>265</v>
      </c>
      <c r="O1306">
        <v>477.83</v>
      </c>
      <c r="Q1306" t="s">
        <v>33</v>
      </c>
      <c r="R1306" t="s">
        <v>34</v>
      </c>
      <c r="S1306" t="s">
        <v>35</v>
      </c>
      <c r="T1306" t="s">
        <v>35</v>
      </c>
      <c r="U1306" t="s">
        <v>34</v>
      </c>
      <c r="V1306" t="str">
        <f>""</f>
        <v/>
      </c>
      <c r="W1306">
        <v>20150327</v>
      </c>
      <c r="X1306" t="s">
        <v>268</v>
      </c>
      <c r="Y1306" t="s">
        <v>266</v>
      </c>
      <c r="Z1306" t="s">
        <v>266</v>
      </c>
      <c r="AA1306">
        <v>0</v>
      </c>
      <c r="AB1306" t="s">
        <v>238</v>
      </c>
      <c r="AC1306" t="s">
        <v>143</v>
      </c>
      <c r="AD1306" t="s">
        <v>40</v>
      </c>
      <c r="AE1306" t="str">
        <f t="shared" ref="AE1306:AE1337" si="395">"03"</f>
        <v>03</v>
      </c>
      <c r="AF1306" t="s">
        <v>40</v>
      </c>
    </row>
    <row r="1307" spans="1:32" x14ac:dyDescent="0.25">
      <c r="A1307">
        <v>5</v>
      </c>
      <c r="B1307">
        <v>240</v>
      </c>
      <c r="C1307" t="str">
        <f t="shared" si="389"/>
        <v>35</v>
      </c>
      <c r="D1307">
        <v>6341</v>
      </c>
      <c r="E1307" t="str">
        <f t="shared" si="382"/>
        <v>00</v>
      </c>
      <c r="F1307" t="str">
        <f t="shared" si="387"/>
        <v>999</v>
      </c>
      <c r="G1307">
        <v>5</v>
      </c>
      <c r="H1307" t="str">
        <f t="shared" si="390"/>
        <v>99</v>
      </c>
      <c r="I1307" t="str">
        <f t="shared" si="383"/>
        <v>0</v>
      </c>
      <c r="J1307" t="str">
        <f t="shared" si="388"/>
        <v>00</v>
      </c>
      <c r="K1307">
        <v>20150327</v>
      </c>
      <c r="L1307" t="str">
        <f t="shared" si="393"/>
        <v>014875</v>
      </c>
      <c r="M1307" t="str">
        <f t="shared" si="394"/>
        <v>00391</v>
      </c>
      <c r="N1307" t="s">
        <v>265</v>
      </c>
      <c r="O1307">
        <v>128.44999999999999</v>
      </c>
      <c r="Q1307" t="s">
        <v>33</v>
      </c>
      <c r="R1307" t="s">
        <v>34</v>
      </c>
      <c r="S1307" t="s">
        <v>35</v>
      </c>
      <c r="T1307" t="s">
        <v>35</v>
      </c>
      <c r="U1307" t="s">
        <v>34</v>
      </c>
      <c r="V1307" t="str">
        <f>""</f>
        <v/>
      </c>
      <c r="W1307">
        <v>20150327</v>
      </c>
      <c r="X1307" t="s">
        <v>268</v>
      </c>
      <c r="Y1307" t="s">
        <v>266</v>
      </c>
      <c r="Z1307" t="s">
        <v>266</v>
      </c>
      <c r="AA1307">
        <v>0</v>
      </c>
      <c r="AB1307" t="s">
        <v>238</v>
      </c>
      <c r="AC1307" t="s">
        <v>143</v>
      </c>
      <c r="AD1307" t="s">
        <v>40</v>
      </c>
      <c r="AE1307" t="str">
        <f t="shared" si="395"/>
        <v>03</v>
      </c>
      <c r="AF1307" t="s">
        <v>40</v>
      </c>
    </row>
    <row r="1308" spans="1:32" x14ac:dyDescent="0.25">
      <c r="A1308">
        <v>5</v>
      </c>
      <c r="B1308">
        <v>240</v>
      </c>
      <c r="C1308" t="str">
        <f t="shared" si="389"/>
        <v>35</v>
      </c>
      <c r="D1308">
        <v>6341</v>
      </c>
      <c r="E1308" t="str">
        <f t="shared" si="382"/>
        <v>00</v>
      </c>
      <c r="F1308" t="str">
        <f t="shared" si="387"/>
        <v>999</v>
      </c>
      <c r="G1308">
        <v>5</v>
      </c>
      <c r="H1308" t="str">
        <f t="shared" si="390"/>
        <v>99</v>
      </c>
      <c r="I1308" t="str">
        <f t="shared" si="383"/>
        <v>0</v>
      </c>
      <c r="J1308" t="str">
        <f t="shared" si="388"/>
        <v>00</v>
      </c>
      <c r="K1308">
        <v>20150327</v>
      </c>
      <c r="L1308" t="str">
        <f t="shared" si="393"/>
        <v>014875</v>
      </c>
      <c r="M1308" t="str">
        <f t="shared" si="394"/>
        <v>00391</v>
      </c>
      <c r="N1308" t="s">
        <v>265</v>
      </c>
      <c r="O1308" s="1">
        <v>3309.11</v>
      </c>
      <c r="Q1308" t="s">
        <v>33</v>
      </c>
      <c r="R1308" t="s">
        <v>34</v>
      </c>
      <c r="S1308" t="s">
        <v>35</v>
      </c>
      <c r="T1308" t="s">
        <v>35</v>
      </c>
      <c r="U1308" t="s">
        <v>34</v>
      </c>
      <c r="V1308" t="str">
        <f>""</f>
        <v/>
      </c>
      <c r="W1308">
        <v>20150327</v>
      </c>
      <c r="X1308" t="s">
        <v>268</v>
      </c>
      <c r="Y1308" t="s">
        <v>266</v>
      </c>
      <c r="Z1308" t="s">
        <v>266</v>
      </c>
      <c r="AA1308">
        <v>0</v>
      </c>
      <c r="AB1308" t="s">
        <v>238</v>
      </c>
      <c r="AC1308" t="s">
        <v>143</v>
      </c>
      <c r="AD1308" t="s">
        <v>40</v>
      </c>
      <c r="AE1308" t="str">
        <f t="shared" si="395"/>
        <v>03</v>
      </c>
      <c r="AF1308" t="s">
        <v>40</v>
      </c>
    </row>
    <row r="1309" spans="1:32" x14ac:dyDescent="0.25">
      <c r="A1309">
        <v>5</v>
      </c>
      <c r="B1309">
        <v>240</v>
      </c>
      <c r="C1309" t="str">
        <f t="shared" si="389"/>
        <v>35</v>
      </c>
      <c r="D1309">
        <v>6341</v>
      </c>
      <c r="E1309" t="str">
        <f t="shared" si="382"/>
        <v>00</v>
      </c>
      <c r="F1309" t="str">
        <f t="shared" si="387"/>
        <v>999</v>
      </c>
      <c r="G1309">
        <v>5</v>
      </c>
      <c r="H1309" t="str">
        <f t="shared" si="390"/>
        <v>99</v>
      </c>
      <c r="I1309" t="str">
        <f t="shared" si="383"/>
        <v>0</v>
      </c>
      <c r="J1309" t="str">
        <f t="shared" si="388"/>
        <v>00</v>
      </c>
      <c r="K1309">
        <v>20150327</v>
      </c>
      <c r="L1309" t="str">
        <f t="shared" si="393"/>
        <v>014875</v>
      </c>
      <c r="M1309" t="str">
        <f t="shared" si="394"/>
        <v>00391</v>
      </c>
      <c r="N1309" t="s">
        <v>265</v>
      </c>
      <c r="O1309" s="1">
        <v>2400.52</v>
      </c>
      <c r="Q1309" t="s">
        <v>33</v>
      </c>
      <c r="R1309" t="s">
        <v>34</v>
      </c>
      <c r="S1309" t="s">
        <v>35</v>
      </c>
      <c r="T1309" t="s">
        <v>35</v>
      </c>
      <c r="U1309" t="s">
        <v>34</v>
      </c>
      <c r="V1309" t="str">
        <f>""</f>
        <v/>
      </c>
      <c r="W1309">
        <v>20150327</v>
      </c>
      <c r="X1309" t="s">
        <v>268</v>
      </c>
      <c r="Y1309" t="s">
        <v>266</v>
      </c>
      <c r="Z1309" t="s">
        <v>266</v>
      </c>
      <c r="AA1309">
        <v>0</v>
      </c>
      <c r="AB1309" t="s">
        <v>238</v>
      </c>
      <c r="AC1309" t="s">
        <v>143</v>
      </c>
      <c r="AD1309" t="s">
        <v>40</v>
      </c>
      <c r="AE1309" t="str">
        <f t="shared" si="395"/>
        <v>03</v>
      </c>
      <c r="AF1309" t="s">
        <v>40</v>
      </c>
    </row>
    <row r="1310" spans="1:32" x14ac:dyDescent="0.25">
      <c r="A1310">
        <v>5</v>
      </c>
      <c r="B1310">
        <v>240</v>
      </c>
      <c r="C1310" t="str">
        <f t="shared" si="389"/>
        <v>35</v>
      </c>
      <c r="D1310">
        <v>6342</v>
      </c>
      <c r="E1310" t="str">
        <f t="shared" si="382"/>
        <v>00</v>
      </c>
      <c r="F1310" t="str">
        <f t="shared" si="387"/>
        <v>999</v>
      </c>
      <c r="G1310">
        <v>5</v>
      </c>
      <c r="H1310" t="str">
        <f t="shared" si="390"/>
        <v>99</v>
      </c>
      <c r="I1310" t="str">
        <f t="shared" si="383"/>
        <v>0</v>
      </c>
      <c r="J1310" t="str">
        <f t="shared" si="388"/>
        <v>00</v>
      </c>
      <c r="K1310">
        <v>20150327</v>
      </c>
      <c r="L1310" t="str">
        <f t="shared" si="393"/>
        <v>014875</v>
      </c>
      <c r="M1310" t="str">
        <f t="shared" si="394"/>
        <v>00391</v>
      </c>
      <c r="N1310" t="s">
        <v>265</v>
      </c>
      <c r="O1310">
        <v>183.33</v>
      </c>
      <c r="Q1310" t="s">
        <v>33</v>
      </c>
      <c r="R1310" t="s">
        <v>34</v>
      </c>
      <c r="S1310" t="s">
        <v>35</v>
      </c>
      <c r="T1310" t="s">
        <v>35</v>
      </c>
      <c r="U1310" t="s">
        <v>34</v>
      </c>
      <c r="V1310" t="str">
        <f>""</f>
        <v/>
      </c>
      <c r="W1310">
        <v>20150327</v>
      </c>
      <c r="X1310" t="s">
        <v>269</v>
      </c>
      <c r="Y1310" t="s">
        <v>266</v>
      </c>
      <c r="Z1310" t="s">
        <v>266</v>
      </c>
      <c r="AA1310">
        <v>0</v>
      </c>
      <c r="AB1310" t="s">
        <v>238</v>
      </c>
      <c r="AC1310" t="s">
        <v>143</v>
      </c>
      <c r="AD1310" t="s">
        <v>40</v>
      </c>
      <c r="AE1310" t="str">
        <f t="shared" si="395"/>
        <v>03</v>
      </c>
      <c r="AF1310" t="s">
        <v>40</v>
      </c>
    </row>
    <row r="1311" spans="1:32" x14ac:dyDescent="0.25">
      <c r="A1311">
        <v>5</v>
      </c>
      <c r="B1311">
        <v>240</v>
      </c>
      <c r="C1311" t="str">
        <f t="shared" si="389"/>
        <v>35</v>
      </c>
      <c r="D1311">
        <v>6342</v>
      </c>
      <c r="E1311" t="str">
        <f t="shared" si="382"/>
        <v>00</v>
      </c>
      <c r="F1311" t="str">
        <f t="shared" si="387"/>
        <v>999</v>
      </c>
      <c r="G1311">
        <v>5</v>
      </c>
      <c r="H1311" t="str">
        <f t="shared" si="390"/>
        <v>99</v>
      </c>
      <c r="I1311" t="str">
        <f t="shared" si="383"/>
        <v>0</v>
      </c>
      <c r="J1311" t="str">
        <f t="shared" si="388"/>
        <v>00</v>
      </c>
      <c r="K1311">
        <v>20150327</v>
      </c>
      <c r="L1311" t="str">
        <f t="shared" si="393"/>
        <v>014875</v>
      </c>
      <c r="M1311" t="str">
        <f t="shared" si="394"/>
        <v>00391</v>
      </c>
      <c r="N1311" t="s">
        <v>265</v>
      </c>
      <c r="O1311">
        <v>37.24</v>
      </c>
      <c r="Q1311" t="s">
        <v>33</v>
      </c>
      <c r="R1311" t="s">
        <v>34</v>
      </c>
      <c r="S1311" t="s">
        <v>35</v>
      </c>
      <c r="T1311" t="s">
        <v>35</v>
      </c>
      <c r="U1311" t="s">
        <v>34</v>
      </c>
      <c r="V1311" t="str">
        <f>""</f>
        <v/>
      </c>
      <c r="W1311">
        <v>20150327</v>
      </c>
      <c r="X1311" t="s">
        <v>269</v>
      </c>
      <c r="Y1311" t="s">
        <v>266</v>
      </c>
      <c r="Z1311" t="s">
        <v>266</v>
      </c>
      <c r="AA1311">
        <v>0</v>
      </c>
      <c r="AB1311" t="s">
        <v>238</v>
      </c>
      <c r="AC1311" t="s">
        <v>143</v>
      </c>
      <c r="AD1311" t="s">
        <v>40</v>
      </c>
      <c r="AE1311" t="str">
        <f t="shared" si="395"/>
        <v>03</v>
      </c>
      <c r="AF1311" t="s">
        <v>40</v>
      </c>
    </row>
    <row r="1312" spans="1:32" x14ac:dyDescent="0.25">
      <c r="A1312">
        <v>5</v>
      </c>
      <c r="B1312">
        <v>240</v>
      </c>
      <c r="C1312" t="str">
        <f t="shared" si="389"/>
        <v>35</v>
      </c>
      <c r="D1312">
        <v>6342</v>
      </c>
      <c r="E1312" t="str">
        <f t="shared" si="382"/>
        <v>00</v>
      </c>
      <c r="F1312" t="str">
        <f t="shared" si="387"/>
        <v>999</v>
      </c>
      <c r="G1312">
        <v>5</v>
      </c>
      <c r="H1312" t="str">
        <f t="shared" si="390"/>
        <v>99</v>
      </c>
      <c r="I1312" t="str">
        <f t="shared" si="383"/>
        <v>0</v>
      </c>
      <c r="J1312" t="str">
        <f t="shared" si="388"/>
        <v>00</v>
      </c>
      <c r="K1312">
        <v>20150327</v>
      </c>
      <c r="L1312" t="str">
        <f t="shared" si="393"/>
        <v>014875</v>
      </c>
      <c r="M1312" t="str">
        <f t="shared" si="394"/>
        <v>00391</v>
      </c>
      <c r="N1312" t="s">
        <v>265</v>
      </c>
      <c r="O1312">
        <v>98.68</v>
      </c>
      <c r="Q1312" t="s">
        <v>33</v>
      </c>
      <c r="R1312" t="s">
        <v>34</v>
      </c>
      <c r="S1312" t="s">
        <v>35</v>
      </c>
      <c r="T1312" t="s">
        <v>35</v>
      </c>
      <c r="U1312" t="s">
        <v>34</v>
      </c>
      <c r="V1312" t="str">
        <f>""</f>
        <v/>
      </c>
      <c r="W1312">
        <v>20150327</v>
      </c>
      <c r="X1312" t="s">
        <v>269</v>
      </c>
      <c r="Y1312" t="s">
        <v>266</v>
      </c>
      <c r="Z1312" t="s">
        <v>266</v>
      </c>
      <c r="AA1312">
        <v>0</v>
      </c>
      <c r="AB1312" t="s">
        <v>238</v>
      </c>
      <c r="AC1312" t="s">
        <v>143</v>
      </c>
      <c r="AD1312" t="s">
        <v>40</v>
      </c>
      <c r="AE1312" t="str">
        <f t="shared" si="395"/>
        <v>03</v>
      </c>
      <c r="AF1312" t="s">
        <v>40</v>
      </c>
    </row>
    <row r="1313" spans="1:32" x14ac:dyDescent="0.25">
      <c r="A1313">
        <v>5</v>
      </c>
      <c r="B1313">
        <v>240</v>
      </c>
      <c r="C1313" t="str">
        <f>"51"</f>
        <v>51</v>
      </c>
      <c r="D1313">
        <v>6319</v>
      </c>
      <c r="E1313" t="str">
        <f t="shared" ref="E1313:E1322" si="396">"00"</f>
        <v>00</v>
      </c>
      <c r="F1313" t="str">
        <f t="shared" si="387"/>
        <v>999</v>
      </c>
      <c r="G1313">
        <v>5</v>
      </c>
      <c r="H1313" t="str">
        <f t="shared" si="390"/>
        <v>99</v>
      </c>
      <c r="I1313" t="str">
        <f t="shared" si="383"/>
        <v>0</v>
      </c>
      <c r="J1313" t="str">
        <f t="shared" si="388"/>
        <v>00</v>
      </c>
      <c r="K1313">
        <v>20150327</v>
      </c>
      <c r="L1313" t="str">
        <f t="shared" si="393"/>
        <v>014875</v>
      </c>
      <c r="M1313" t="str">
        <f t="shared" si="394"/>
        <v>00391</v>
      </c>
      <c r="N1313" t="s">
        <v>265</v>
      </c>
      <c r="O1313">
        <v>72.650000000000006</v>
      </c>
      <c r="Q1313" t="s">
        <v>33</v>
      </c>
      <c r="R1313" t="s">
        <v>34</v>
      </c>
      <c r="S1313" t="s">
        <v>35</v>
      </c>
      <c r="T1313" t="s">
        <v>35</v>
      </c>
      <c r="U1313" t="s">
        <v>34</v>
      </c>
      <c r="V1313" t="str">
        <f>""</f>
        <v/>
      </c>
      <c r="W1313">
        <v>20150327</v>
      </c>
      <c r="X1313" t="s">
        <v>350</v>
      </c>
      <c r="Y1313" t="s">
        <v>266</v>
      </c>
      <c r="Z1313" t="s">
        <v>266</v>
      </c>
      <c r="AA1313">
        <v>0</v>
      </c>
      <c r="AB1313" t="s">
        <v>238</v>
      </c>
      <c r="AC1313" t="s">
        <v>143</v>
      </c>
      <c r="AD1313" t="s">
        <v>40</v>
      </c>
      <c r="AE1313" t="str">
        <f t="shared" si="395"/>
        <v>03</v>
      </c>
      <c r="AF1313" t="s">
        <v>40</v>
      </c>
    </row>
    <row r="1314" spans="1:32" x14ac:dyDescent="0.25">
      <c r="A1314">
        <v>5</v>
      </c>
      <c r="B1314">
        <v>240</v>
      </c>
      <c r="C1314" t="str">
        <f>"51"</f>
        <v>51</v>
      </c>
      <c r="D1314">
        <v>6319</v>
      </c>
      <c r="E1314" t="str">
        <f t="shared" si="396"/>
        <v>00</v>
      </c>
      <c r="F1314" t="str">
        <f t="shared" si="387"/>
        <v>999</v>
      </c>
      <c r="G1314">
        <v>5</v>
      </c>
      <c r="H1314" t="str">
        <f t="shared" si="390"/>
        <v>99</v>
      </c>
      <c r="I1314" t="str">
        <f t="shared" si="383"/>
        <v>0</v>
      </c>
      <c r="J1314" t="str">
        <f t="shared" si="388"/>
        <v>00</v>
      </c>
      <c r="K1314">
        <v>20150327</v>
      </c>
      <c r="L1314" t="str">
        <f t="shared" si="393"/>
        <v>014875</v>
      </c>
      <c r="M1314" t="str">
        <f t="shared" si="394"/>
        <v>00391</v>
      </c>
      <c r="N1314" t="s">
        <v>265</v>
      </c>
      <c r="O1314">
        <v>89.3</v>
      </c>
      <c r="Q1314" t="s">
        <v>33</v>
      </c>
      <c r="R1314" t="s">
        <v>34</v>
      </c>
      <c r="S1314" t="s">
        <v>35</v>
      </c>
      <c r="T1314" t="s">
        <v>35</v>
      </c>
      <c r="U1314" t="s">
        <v>34</v>
      </c>
      <c r="V1314" t="str">
        <f>""</f>
        <v/>
      </c>
      <c r="W1314">
        <v>20150327</v>
      </c>
      <c r="X1314" t="s">
        <v>350</v>
      </c>
      <c r="Y1314" t="s">
        <v>266</v>
      </c>
      <c r="Z1314" t="s">
        <v>266</v>
      </c>
      <c r="AA1314">
        <v>0</v>
      </c>
      <c r="AB1314" t="s">
        <v>238</v>
      </c>
      <c r="AC1314" t="s">
        <v>143</v>
      </c>
      <c r="AD1314" t="s">
        <v>40</v>
      </c>
      <c r="AE1314" t="str">
        <f t="shared" si="395"/>
        <v>03</v>
      </c>
      <c r="AF1314" t="s">
        <v>40</v>
      </c>
    </row>
    <row r="1315" spans="1:32" x14ac:dyDescent="0.25">
      <c r="A1315">
        <v>5</v>
      </c>
      <c r="B1315">
        <v>240</v>
      </c>
      <c r="C1315" t="str">
        <f>"35"</f>
        <v>35</v>
      </c>
      <c r="D1315">
        <v>6299</v>
      </c>
      <c r="E1315" t="str">
        <f t="shared" si="396"/>
        <v>00</v>
      </c>
      <c r="F1315" t="str">
        <f t="shared" si="387"/>
        <v>999</v>
      </c>
      <c r="G1315">
        <v>5</v>
      </c>
      <c r="H1315" t="str">
        <f t="shared" si="390"/>
        <v>99</v>
      </c>
      <c r="I1315" t="str">
        <f t="shared" si="383"/>
        <v>0</v>
      </c>
      <c r="J1315" t="str">
        <f t="shared" si="388"/>
        <v>00</v>
      </c>
      <c r="K1315">
        <v>20150327</v>
      </c>
      <c r="L1315" t="str">
        <f>"014876"</f>
        <v>014876</v>
      </c>
      <c r="M1315" t="str">
        <f>"00577"</f>
        <v>00577</v>
      </c>
      <c r="N1315" t="s">
        <v>251</v>
      </c>
      <c r="O1315">
        <v>39.04</v>
      </c>
      <c r="Q1315" t="s">
        <v>33</v>
      </c>
      <c r="R1315" t="s">
        <v>34</v>
      </c>
      <c r="S1315" t="s">
        <v>35</v>
      </c>
      <c r="T1315" t="s">
        <v>35</v>
      </c>
      <c r="U1315" t="s">
        <v>34</v>
      </c>
      <c r="V1315" t="str">
        <f>""</f>
        <v/>
      </c>
      <c r="W1315">
        <v>20150327</v>
      </c>
      <c r="X1315" t="s">
        <v>252</v>
      </c>
      <c r="Y1315" t="s">
        <v>253</v>
      </c>
      <c r="Z1315" t="s">
        <v>253</v>
      </c>
      <c r="AA1315">
        <v>0</v>
      </c>
      <c r="AB1315" t="s">
        <v>238</v>
      </c>
      <c r="AC1315" t="s">
        <v>143</v>
      </c>
      <c r="AD1315" t="s">
        <v>40</v>
      </c>
      <c r="AE1315" t="str">
        <f t="shared" si="395"/>
        <v>03</v>
      </c>
      <c r="AF1315" t="s">
        <v>40</v>
      </c>
    </row>
    <row r="1316" spans="1:32" x14ac:dyDescent="0.25">
      <c r="A1316">
        <v>5</v>
      </c>
      <c r="B1316">
        <v>240</v>
      </c>
      <c r="C1316" t="str">
        <f>"35"</f>
        <v>35</v>
      </c>
      <c r="D1316">
        <v>6299</v>
      </c>
      <c r="E1316" t="str">
        <f t="shared" si="396"/>
        <v>00</v>
      </c>
      <c r="F1316" t="str">
        <f t="shared" si="387"/>
        <v>999</v>
      </c>
      <c r="G1316">
        <v>5</v>
      </c>
      <c r="H1316" t="str">
        <f t="shared" si="390"/>
        <v>99</v>
      </c>
      <c r="I1316" t="str">
        <f t="shared" si="383"/>
        <v>0</v>
      </c>
      <c r="J1316" t="str">
        <f t="shared" si="388"/>
        <v>00</v>
      </c>
      <c r="K1316">
        <v>20150327</v>
      </c>
      <c r="L1316" t="str">
        <f>"014876"</f>
        <v>014876</v>
      </c>
      <c r="M1316" t="str">
        <f>"00577"</f>
        <v>00577</v>
      </c>
      <c r="N1316" t="s">
        <v>251</v>
      </c>
      <c r="O1316">
        <v>25.63</v>
      </c>
      <c r="Q1316" t="s">
        <v>33</v>
      </c>
      <c r="R1316" t="s">
        <v>34</v>
      </c>
      <c r="S1316" t="s">
        <v>35</v>
      </c>
      <c r="T1316" t="s">
        <v>35</v>
      </c>
      <c r="U1316" t="s">
        <v>34</v>
      </c>
      <c r="V1316" t="str">
        <f>""</f>
        <v/>
      </c>
      <c r="W1316">
        <v>20150327</v>
      </c>
      <c r="X1316" t="s">
        <v>252</v>
      </c>
      <c r="Y1316" t="s">
        <v>253</v>
      </c>
      <c r="Z1316" t="s">
        <v>253</v>
      </c>
      <c r="AA1316">
        <v>0</v>
      </c>
      <c r="AB1316" t="s">
        <v>238</v>
      </c>
      <c r="AC1316" t="s">
        <v>143</v>
      </c>
      <c r="AD1316" t="s">
        <v>40</v>
      </c>
      <c r="AE1316" t="str">
        <f t="shared" si="395"/>
        <v>03</v>
      </c>
      <c r="AF1316" t="s">
        <v>40</v>
      </c>
    </row>
    <row r="1317" spans="1:32" x14ac:dyDescent="0.25">
      <c r="A1317">
        <v>5</v>
      </c>
      <c r="B1317">
        <v>240</v>
      </c>
      <c r="C1317" t="str">
        <f>"35"</f>
        <v>35</v>
      </c>
      <c r="D1317">
        <v>6299</v>
      </c>
      <c r="E1317" t="str">
        <f t="shared" si="396"/>
        <v>00</v>
      </c>
      <c r="F1317" t="str">
        <f t="shared" si="387"/>
        <v>999</v>
      </c>
      <c r="G1317">
        <v>5</v>
      </c>
      <c r="H1317" t="str">
        <f t="shared" si="390"/>
        <v>99</v>
      </c>
      <c r="I1317" t="str">
        <f t="shared" si="383"/>
        <v>0</v>
      </c>
      <c r="J1317" t="str">
        <f t="shared" si="388"/>
        <v>00</v>
      </c>
      <c r="K1317">
        <v>20150327</v>
      </c>
      <c r="L1317" t="str">
        <f>"014876"</f>
        <v>014876</v>
      </c>
      <c r="M1317" t="str">
        <f>"00577"</f>
        <v>00577</v>
      </c>
      <c r="N1317" t="s">
        <v>251</v>
      </c>
      <c r="O1317">
        <v>13.41</v>
      </c>
      <c r="Q1317" t="s">
        <v>33</v>
      </c>
      <c r="R1317" t="s">
        <v>34</v>
      </c>
      <c r="S1317" t="s">
        <v>35</v>
      </c>
      <c r="T1317" t="s">
        <v>35</v>
      </c>
      <c r="U1317" t="s">
        <v>34</v>
      </c>
      <c r="V1317" t="str">
        <f>""</f>
        <v/>
      </c>
      <c r="W1317">
        <v>20150327</v>
      </c>
      <c r="X1317" t="s">
        <v>252</v>
      </c>
      <c r="Y1317" t="s">
        <v>253</v>
      </c>
      <c r="Z1317" t="s">
        <v>253</v>
      </c>
      <c r="AA1317">
        <v>0</v>
      </c>
      <c r="AB1317" t="s">
        <v>238</v>
      </c>
      <c r="AC1317" t="s">
        <v>143</v>
      </c>
      <c r="AD1317" t="s">
        <v>40</v>
      </c>
      <c r="AE1317" t="str">
        <f t="shared" si="395"/>
        <v>03</v>
      </c>
      <c r="AF1317" t="s">
        <v>40</v>
      </c>
    </row>
    <row r="1318" spans="1:32" x14ac:dyDescent="0.25">
      <c r="A1318">
        <v>5</v>
      </c>
      <c r="B1318">
        <v>420</v>
      </c>
      <c r="C1318" t="str">
        <f>"51"</f>
        <v>51</v>
      </c>
      <c r="D1318">
        <v>6299</v>
      </c>
      <c r="E1318" t="str">
        <f t="shared" si="396"/>
        <v>00</v>
      </c>
      <c r="F1318" t="str">
        <f t="shared" si="387"/>
        <v>999</v>
      </c>
      <c r="G1318">
        <v>5</v>
      </c>
      <c r="H1318" t="str">
        <f t="shared" si="390"/>
        <v>99</v>
      </c>
      <c r="I1318" t="str">
        <f t="shared" si="383"/>
        <v>0</v>
      </c>
      <c r="J1318" t="str">
        <f t="shared" si="388"/>
        <v>00</v>
      </c>
      <c r="K1318">
        <v>20150327</v>
      </c>
      <c r="L1318" t="str">
        <f>"014876"</f>
        <v>014876</v>
      </c>
      <c r="M1318" t="str">
        <f>"00577"</f>
        <v>00577</v>
      </c>
      <c r="N1318" t="s">
        <v>251</v>
      </c>
      <c r="O1318">
        <v>63.72</v>
      </c>
      <c r="Q1318" t="s">
        <v>33</v>
      </c>
      <c r="R1318" t="s">
        <v>34</v>
      </c>
      <c r="S1318" t="s">
        <v>35</v>
      </c>
      <c r="T1318" t="s">
        <v>35</v>
      </c>
      <c r="U1318" t="s">
        <v>34</v>
      </c>
      <c r="V1318" t="str">
        <f>""</f>
        <v/>
      </c>
      <c r="W1318">
        <v>20150327</v>
      </c>
      <c r="X1318" t="s">
        <v>203</v>
      </c>
      <c r="Y1318" t="s">
        <v>253</v>
      </c>
      <c r="Z1318" t="s">
        <v>253</v>
      </c>
      <c r="AA1318">
        <v>0</v>
      </c>
      <c r="AB1318" t="s">
        <v>142</v>
      </c>
      <c r="AC1318" t="s">
        <v>143</v>
      </c>
      <c r="AD1318" t="s">
        <v>40</v>
      </c>
      <c r="AE1318" t="str">
        <f t="shared" si="395"/>
        <v>03</v>
      </c>
      <c r="AF1318" t="s">
        <v>40</v>
      </c>
    </row>
    <row r="1319" spans="1:32" x14ac:dyDescent="0.25">
      <c r="A1319">
        <v>5</v>
      </c>
      <c r="B1319">
        <v>420</v>
      </c>
      <c r="C1319" t="str">
        <f>"36"</f>
        <v>36</v>
      </c>
      <c r="D1319">
        <v>6412</v>
      </c>
      <c r="E1319" t="str">
        <f t="shared" si="396"/>
        <v>00</v>
      </c>
      <c r="F1319" t="str">
        <f>"001"</f>
        <v>001</v>
      </c>
      <c r="G1319">
        <v>5</v>
      </c>
      <c r="H1319" t="str">
        <f>"91"</f>
        <v>91</v>
      </c>
      <c r="I1319" t="str">
        <f t="shared" si="383"/>
        <v>0</v>
      </c>
      <c r="J1319" t="str">
        <f t="shared" si="388"/>
        <v>00</v>
      </c>
      <c r="K1319">
        <v>20150327</v>
      </c>
      <c r="L1319" t="str">
        <f>"014877"</f>
        <v>014877</v>
      </c>
      <c r="M1319" t="str">
        <f>"00837"</f>
        <v>00837</v>
      </c>
      <c r="N1319" t="s">
        <v>785</v>
      </c>
      <c r="O1319">
        <v>114.99</v>
      </c>
      <c r="Q1319" t="s">
        <v>33</v>
      </c>
      <c r="R1319" t="s">
        <v>34</v>
      </c>
      <c r="S1319" t="s">
        <v>35</v>
      </c>
      <c r="T1319" t="s">
        <v>35</v>
      </c>
      <c r="U1319" t="s">
        <v>34</v>
      </c>
      <c r="V1319" t="str">
        <f>""</f>
        <v/>
      </c>
      <c r="W1319">
        <v>20150327</v>
      </c>
      <c r="X1319" t="s">
        <v>574</v>
      </c>
      <c r="Y1319" t="s">
        <v>786</v>
      </c>
      <c r="Z1319" t="s">
        <v>786</v>
      </c>
      <c r="AA1319">
        <v>0</v>
      </c>
      <c r="AB1319" t="s">
        <v>142</v>
      </c>
      <c r="AC1319" t="s">
        <v>41</v>
      </c>
      <c r="AD1319" t="s">
        <v>40</v>
      </c>
      <c r="AE1319" t="str">
        <f t="shared" si="395"/>
        <v>03</v>
      </c>
      <c r="AF1319" t="s">
        <v>40</v>
      </c>
    </row>
    <row r="1320" spans="1:32" x14ac:dyDescent="0.25">
      <c r="A1320">
        <v>5</v>
      </c>
      <c r="B1320">
        <v>420</v>
      </c>
      <c r="C1320" t="str">
        <f>"36"</f>
        <v>36</v>
      </c>
      <c r="D1320">
        <v>6412</v>
      </c>
      <c r="E1320" t="str">
        <f t="shared" si="396"/>
        <v>00</v>
      </c>
      <c r="F1320" t="str">
        <f>"001"</f>
        <v>001</v>
      </c>
      <c r="G1320">
        <v>5</v>
      </c>
      <c r="H1320" t="str">
        <f>"91"</f>
        <v>91</v>
      </c>
      <c r="I1320" t="str">
        <f t="shared" si="383"/>
        <v>0</v>
      </c>
      <c r="J1320" t="str">
        <f t="shared" si="388"/>
        <v>00</v>
      </c>
      <c r="K1320">
        <v>20150327</v>
      </c>
      <c r="L1320" t="str">
        <f>"014877"</f>
        <v>014877</v>
      </c>
      <c r="M1320" t="str">
        <f>"00837"</f>
        <v>00837</v>
      </c>
      <c r="N1320" t="s">
        <v>785</v>
      </c>
      <c r="O1320">
        <v>120.22</v>
      </c>
      <c r="Q1320" t="s">
        <v>33</v>
      </c>
      <c r="R1320" t="s">
        <v>34</v>
      </c>
      <c r="S1320" t="s">
        <v>35</v>
      </c>
      <c r="T1320" t="s">
        <v>35</v>
      </c>
      <c r="U1320" t="s">
        <v>34</v>
      </c>
      <c r="V1320" t="str">
        <f>""</f>
        <v/>
      </c>
      <c r="W1320">
        <v>20150327</v>
      </c>
      <c r="X1320" t="s">
        <v>574</v>
      </c>
      <c r="Y1320" t="s">
        <v>786</v>
      </c>
      <c r="Z1320" t="s">
        <v>786</v>
      </c>
      <c r="AA1320">
        <v>0</v>
      </c>
      <c r="AB1320" t="s">
        <v>142</v>
      </c>
      <c r="AC1320" t="s">
        <v>41</v>
      </c>
      <c r="AD1320" t="s">
        <v>40</v>
      </c>
      <c r="AE1320" t="str">
        <f t="shared" si="395"/>
        <v>03</v>
      </c>
      <c r="AF1320" t="s">
        <v>40</v>
      </c>
    </row>
    <row r="1321" spans="1:32" x14ac:dyDescent="0.25">
      <c r="A1321">
        <v>5</v>
      </c>
      <c r="B1321">
        <v>420</v>
      </c>
      <c r="C1321" t="str">
        <f>"36"</f>
        <v>36</v>
      </c>
      <c r="D1321">
        <v>6412</v>
      </c>
      <c r="E1321" t="str">
        <f t="shared" si="396"/>
        <v>00</v>
      </c>
      <c r="F1321" t="str">
        <f>"001"</f>
        <v>001</v>
      </c>
      <c r="G1321">
        <v>5</v>
      </c>
      <c r="H1321" t="str">
        <f>"91"</f>
        <v>91</v>
      </c>
      <c r="I1321" t="str">
        <f t="shared" si="383"/>
        <v>0</v>
      </c>
      <c r="J1321" t="str">
        <f t="shared" si="388"/>
        <v>00</v>
      </c>
      <c r="K1321">
        <v>20150327</v>
      </c>
      <c r="L1321" t="str">
        <f>"014877"</f>
        <v>014877</v>
      </c>
      <c r="M1321" t="str">
        <f>"00837"</f>
        <v>00837</v>
      </c>
      <c r="N1321" t="s">
        <v>785</v>
      </c>
      <c r="O1321">
        <v>67.34</v>
      </c>
      <c r="Q1321" t="s">
        <v>33</v>
      </c>
      <c r="R1321" t="s">
        <v>34</v>
      </c>
      <c r="S1321" t="s">
        <v>35</v>
      </c>
      <c r="T1321" t="s">
        <v>35</v>
      </c>
      <c r="U1321" t="s">
        <v>34</v>
      </c>
      <c r="V1321" t="str">
        <f>""</f>
        <v/>
      </c>
      <c r="W1321">
        <v>20150327</v>
      </c>
      <c r="X1321" t="s">
        <v>574</v>
      </c>
      <c r="Y1321" t="s">
        <v>786</v>
      </c>
      <c r="Z1321" t="s">
        <v>786</v>
      </c>
      <c r="AA1321">
        <v>0</v>
      </c>
      <c r="AB1321" t="s">
        <v>142</v>
      </c>
      <c r="AC1321" t="s">
        <v>41</v>
      </c>
      <c r="AD1321" t="s">
        <v>40</v>
      </c>
      <c r="AE1321" t="str">
        <f t="shared" si="395"/>
        <v>03</v>
      </c>
      <c r="AF1321" t="s">
        <v>40</v>
      </c>
    </row>
    <row r="1322" spans="1:32" x14ac:dyDescent="0.25">
      <c r="A1322">
        <v>5</v>
      </c>
      <c r="B1322">
        <v>420</v>
      </c>
      <c r="C1322" t="str">
        <f>"36"</f>
        <v>36</v>
      </c>
      <c r="D1322">
        <v>6412</v>
      </c>
      <c r="E1322" t="str">
        <f t="shared" si="396"/>
        <v>00</v>
      </c>
      <c r="F1322" t="str">
        <f>"001"</f>
        <v>001</v>
      </c>
      <c r="G1322">
        <v>5</v>
      </c>
      <c r="H1322" t="str">
        <f>"91"</f>
        <v>91</v>
      </c>
      <c r="I1322" t="str">
        <f t="shared" si="383"/>
        <v>0</v>
      </c>
      <c r="J1322" t="str">
        <f t="shared" si="388"/>
        <v>00</v>
      </c>
      <c r="K1322">
        <v>20150327</v>
      </c>
      <c r="L1322" t="str">
        <f>"014877"</f>
        <v>014877</v>
      </c>
      <c r="M1322" t="str">
        <f>"00837"</f>
        <v>00837</v>
      </c>
      <c r="N1322" t="s">
        <v>785</v>
      </c>
      <c r="O1322">
        <v>64.63</v>
      </c>
      <c r="Q1322" t="s">
        <v>33</v>
      </c>
      <c r="R1322" t="s">
        <v>34</v>
      </c>
      <c r="S1322" t="s">
        <v>35</v>
      </c>
      <c r="T1322" t="s">
        <v>35</v>
      </c>
      <c r="U1322" t="s">
        <v>34</v>
      </c>
      <c r="V1322" t="str">
        <f>""</f>
        <v/>
      </c>
      <c r="W1322">
        <v>20150327</v>
      </c>
      <c r="X1322" t="s">
        <v>574</v>
      </c>
      <c r="Y1322" t="s">
        <v>786</v>
      </c>
      <c r="Z1322" t="s">
        <v>786</v>
      </c>
      <c r="AA1322">
        <v>0</v>
      </c>
      <c r="AB1322" t="s">
        <v>142</v>
      </c>
      <c r="AC1322" t="s">
        <v>41</v>
      </c>
      <c r="AD1322" t="s">
        <v>40</v>
      </c>
      <c r="AE1322" t="str">
        <f t="shared" si="395"/>
        <v>03</v>
      </c>
      <c r="AF1322" t="s">
        <v>40</v>
      </c>
    </row>
    <row r="1323" spans="1:32" x14ac:dyDescent="0.25">
      <c r="A1323">
        <v>5</v>
      </c>
      <c r="B1323">
        <v>420</v>
      </c>
      <c r="C1323" t="str">
        <f>"51"</f>
        <v>51</v>
      </c>
      <c r="D1323">
        <v>6259</v>
      </c>
      <c r="E1323" t="str">
        <f>"54"</f>
        <v>54</v>
      </c>
      <c r="F1323" t="str">
        <f t="shared" ref="F1323:F1333" si="397">"999"</f>
        <v>999</v>
      </c>
      <c r="G1323">
        <v>5</v>
      </c>
      <c r="H1323" t="str">
        <f t="shared" ref="H1323:H1333" si="398">"99"</f>
        <v>99</v>
      </c>
      <c r="I1323" t="str">
        <f t="shared" si="383"/>
        <v>0</v>
      </c>
      <c r="J1323" t="str">
        <f t="shared" si="388"/>
        <v>00</v>
      </c>
      <c r="K1323">
        <v>20150331</v>
      </c>
      <c r="L1323" t="str">
        <f>"014878"</f>
        <v>014878</v>
      </c>
      <c r="M1323" t="str">
        <f>"00030"</f>
        <v>00030</v>
      </c>
      <c r="N1323" t="s">
        <v>215</v>
      </c>
      <c r="O1323">
        <v>277.75</v>
      </c>
      <c r="Q1323" t="s">
        <v>33</v>
      </c>
      <c r="R1323" t="s">
        <v>34</v>
      </c>
      <c r="S1323" t="s">
        <v>35</v>
      </c>
      <c r="T1323" t="s">
        <v>35</v>
      </c>
      <c r="U1323" t="s">
        <v>34</v>
      </c>
      <c r="V1323" t="str">
        <f>""</f>
        <v/>
      </c>
      <c r="W1323">
        <v>20150331</v>
      </c>
      <c r="X1323" t="s">
        <v>216</v>
      </c>
      <c r="Y1323" t="s">
        <v>217</v>
      </c>
      <c r="Z1323" t="s">
        <v>217</v>
      </c>
      <c r="AA1323">
        <v>0</v>
      </c>
      <c r="AB1323" t="s">
        <v>142</v>
      </c>
      <c r="AC1323" t="s">
        <v>143</v>
      </c>
      <c r="AD1323" t="s">
        <v>40</v>
      </c>
      <c r="AE1323" t="str">
        <f t="shared" si="395"/>
        <v>03</v>
      </c>
      <c r="AF1323" t="s">
        <v>40</v>
      </c>
    </row>
    <row r="1324" spans="1:32" x14ac:dyDescent="0.25">
      <c r="A1324">
        <v>5</v>
      </c>
      <c r="B1324">
        <v>420</v>
      </c>
      <c r="C1324" t="str">
        <f>"34"</f>
        <v>34</v>
      </c>
      <c r="D1324">
        <v>6249</v>
      </c>
      <c r="E1324" t="str">
        <f t="shared" ref="E1324:E1329" si="399">"00"</f>
        <v>00</v>
      </c>
      <c r="F1324" t="str">
        <f t="shared" si="397"/>
        <v>999</v>
      </c>
      <c r="G1324">
        <v>5</v>
      </c>
      <c r="H1324" t="str">
        <f t="shared" si="398"/>
        <v>99</v>
      </c>
      <c r="I1324" t="str">
        <f t="shared" si="383"/>
        <v>0</v>
      </c>
      <c r="J1324" t="str">
        <f t="shared" si="388"/>
        <v>00</v>
      </c>
      <c r="K1324">
        <v>20150331</v>
      </c>
      <c r="L1324" t="str">
        <f>"014879"</f>
        <v>014879</v>
      </c>
      <c r="M1324" t="str">
        <f>"00516"</f>
        <v>00516</v>
      </c>
      <c r="N1324" t="s">
        <v>139</v>
      </c>
      <c r="O1324">
        <v>45.95</v>
      </c>
      <c r="Q1324" t="s">
        <v>33</v>
      </c>
      <c r="R1324" t="s">
        <v>34</v>
      </c>
      <c r="S1324" t="s">
        <v>35</v>
      </c>
      <c r="T1324" t="s">
        <v>35</v>
      </c>
      <c r="U1324" t="s">
        <v>34</v>
      </c>
      <c r="V1324" t="str">
        <f>""</f>
        <v/>
      </c>
      <c r="W1324">
        <v>20150331</v>
      </c>
      <c r="X1324" t="s">
        <v>484</v>
      </c>
      <c r="Y1324" t="s">
        <v>787</v>
      </c>
      <c r="Z1324" t="s">
        <v>787</v>
      </c>
      <c r="AA1324">
        <v>0</v>
      </c>
      <c r="AB1324" t="s">
        <v>142</v>
      </c>
      <c r="AC1324" t="s">
        <v>143</v>
      </c>
      <c r="AD1324" t="s">
        <v>40</v>
      </c>
      <c r="AE1324" t="str">
        <f t="shared" si="395"/>
        <v>03</v>
      </c>
      <c r="AF1324" t="s">
        <v>40</v>
      </c>
    </row>
    <row r="1325" spans="1:32" x14ac:dyDescent="0.25">
      <c r="A1325">
        <v>5</v>
      </c>
      <c r="B1325">
        <v>420</v>
      </c>
      <c r="C1325" t="str">
        <f t="shared" ref="C1325:C1333" si="400">"51"</f>
        <v>51</v>
      </c>
      <c r="D1325">
        <v>6219</v>
      </c>
      <c r="E1325" t="str">
        <f t="shared" si="399"/>
        <v>00</v>
      </c>
      <c r="F1325" t="str">
        <f t="shared" si="397"/>
        <v>999</v>
      </c>
      <c r="G1325">
        <v>5</v>
      </c>
      <c r="H1325" t="str">
        <f t="shared" si="398"/>
        <v>99</v>
      </c>
      <c r="I1325" t="str">
        <f t="shared" si="383"/>
        <v>0</v>
      </c>
      <c r="J1325" t="str">
        <f t="shared" si="388"/>
        <v>00</v>
      </c>
      <c r="K1325">
        <v>20150331</v>
      </c>
      <c r="L1325" t="str">
        <f>"014880"</f>
        <v>014880</v>
      </c>
      <c r="M1325" t="str">
        <f>"00687"</f>
        <v>00687</v>
      </c>
      <c r="N1325" t="s">
        <v>337</v>
      </c>
      <c r="O1325">
        <v>105</v>
      </c>
      <c r="Q1325" t="s">
        <v>33</v>
      </c>
      <c r="R1325" t="s">
        <v>34</v>
      </c>
      <c r="S1325" t="s">
        <v>35</v>
      </c>
      <c r="T1325" t="s">
        <v>35</v>
      </c>
      <c r="U1325" t="s">
        <v>34</v>
      </c>
      <c r="V1325" t="str">
        <f>""</f>
        <v/>
      </c>
      <c r="W1325">
        <v>20150331</v>
      </c>
      <c r="X1325" t="s">
        <v>183</v>
      </c>
      <c r="Y1325" t="s">
        <v>338</v>
      </c>
      <c r="Z1325" t="s">
        <v>338</v>
      </c>
      <c r="AA1325">
        <v>0</v>
      </c>
      <c r="AB1325" t="s">
        <v>142</v>
      </c>
      <c r="AC1325" t="s">
        <v>143</v>
      </c>
      <c r="AD1325" t="s">
        <v>40</v>
      </c>
      <c r="AE1325" t="str">
        <f t="shared" si="395"/>
        <v>03</v>
      </c>
      <c r="AF1325" t="s">
        <v>40</v>
      </c>
    </row>
    <row r="1326" spans="1:32" x14ac:dyDescent="0.25">
      <c r="A1326">
        <v>5</v>
      </c>
      <c r="B1326">
        <v>420</v>
      </c>
      <c r="C1326" t="str">
        <f t="shared" si="400"/>
        <v>51</v>
      </c>
      <c r="D1326">
        <v>6219</v>
      </c>
      <c r="E1326" t="str">
        <f t="shared" si="399"/>
        <v>00</v>
      </c>
      <c r="F1326" t="str">
        <f t="shared" si="397"/>
        <v>999</v>
      </c>
      <c r="G1326">
        <v>5</v>
      </c>
      <c r="H1326" t="str">
        <f t="shared" si="398"/>
        <v>99</v>
      </c>
      <c r="I1326" t="str">
        <f t="shared" si="383"/>
        <v>0</v>
      </c>
      <c r="J1326" t="str">
        <f t="shared" si="388"/>
        <v>00</v>
      </c>
      <c r="K1326">
        <v>20150331</v>
      </c>
      <c r="L1326" t="str">
        <f>"014880"</f>
        <v>014880</v>
      </c>
      <c r="M1326" t="str">
        <f>"00687"</f>
        <v>00687</v>
      </c>
      <c r="N1326" t="s">
        <v>337</v>
      </c>
      <c r="O1326">
        <v>105</v>
      </c>
      <c r="Q1326" t="s">
        <v>33</v>
      </c>
      <c r="R1326" t="s">
        <v>34</v>
      </c>
      <c r="S1326" t="s">
        <v>35</v>
      </c>
      <c r="T1326" t="s">
        <v>35</v>
      </c>
      <c r="U1326" t="s">
        <v>34</v>
      </c>
      <c r="V1326" t="str">
        <f>""</f>
        <v/>
      </c>
      <c r="W1326">
        <v>20150331</v>
      </c>
      <c r="X1326" t="s">
        <v>183</v>
      </c>
      <c r="Y1326" t="s">
        <v>338</v>
      </c>
      <c r="Z1326" t="s">
        <v>338</v>
      </c>
      <c r="AA1326">
        <v>0</v>
      </c>
      <c r="AB1326" t="s">
        <v>142</v>
      </c>
      <c r="AC1326" t="s">
        <v>143</v>
      </c>
      <c r="AD1326" t="s">
        <v>40</v>
      </c>
      <c r="AE1326" t="str">
        <f t="shared" si="395"/>
        <v>03</v>
      </c>
      <c r="AF1326" t="s">
        <v>40</v>
      </c>
    </row>
    <row r="1327" spans="1:32" x14ac:dyDescent="0.25">
      <c r="A1327">
        <v>5</v>
      </c>
      <c r="B1327">
        <v>420</v>
      </c>
      <c r="C1327" t="str">
        <f t="shared" si="400"/>
        <v>51</v>
      </c>
      <c r="D1327">
        <v>6219</v>
      </c>
      <c r="E1327" t="str">
        <f t="shared" si="399"/>
        <v>00</v>
      </c>
      <c r="F1327" t="str">
        <f t="shared" si="397"/>
        <v>999</v>
      </c>
      <c r="G1327">
        <v>5</v>
      </c>
      <c r="H1327" t="str">
        <f t="shared" si="398"/>
        <v>99</v>
      </c>
      <c r="I1327" t="str">
        <f t="shared" si="383"/>
        <v>0</v>
      </c>
      <c r="J1327" t="str">
        <f t="shared" si="388"/>
        <v>00</v>
      </c>
      <c r="K1327">
        <v>20150331</v>
      </c>
      <c r="L1327" t="str">
        <f>"014880"</f>
        <v>014880</v>
      </c>
      <c r="M1327" t="str">
        <f>"00687"</f>
        <v>00687</v>
      </c>
      <c r="N1327" t="s">
        <v>337</v>
      </c>
      <c r="O1327">
        <v>105</v>
      </c>
      <c r="Q1327" t="s">
        <v>33</v>
      </c>
      <c r="R1327" t="s">
        <v>34</v>
      </c>
      <c r="S1327" t="s">
        <v>35</v>
      </c>
      <c r="T1327" t="s">
        <v>35</v>
      </c>
      <c r="U1327" t="s">
        <v>34</v>
      </c>
      <c r="V1327" t="str">
        <f>""</f>
        <v/>
      </c>
      <c r="W1327">
        <v>20150331</v>
      </c>
      <c r="X1327" t="s">
        <v>183</v>
      </c>
      <c r="Y1327" t="s">
        <v>338</v>
      </c>
      <c r="Z1327" t="s">
        <v>338</v>
      </c>
      <c r="AA1327">
        <v>0</v>
      </c>
      <c r="AB1327" t="s">
        <v>142</v>
      </c>
      <c r="AC1327" t="s">
        <v>143</v>
      </c>
      <c r="AD1327" t="s">
        <v>40</v>
      </c>
      <c r="AE1327" t="str">
        <f t="shared" si="395"/>
        <v>03</v>
      </c>
      <c r="AF1327" t="s">
        <v>40</v>
      </c>
    </row>
    <row r="1328" spans="1:32" x14ac:dyDescent="0.25">
      <c r="A1328">
        <v>5</v>
      </c>
      <c r="B1328">
        <v>420</v>
      </c>
      <c r="C1328" t="str">
        <f t="shared" si="400"/>
        <v>51</v>
      </c>
      <c r="D1328">
        <v>6219</v>
      </c>
      <c r="E1328" t="str">
        <f t="shared" si="399"/>
        <v>00</v>
      </c>
      <c r="F1328" t="str">
        <f t="shared" si="397"/>
        <v>999</v>
      </c>
      <c r="G1328">
        <v>5</v>
      </c>
      <c r="H1328" t="str">
        <f t="shared" si="398"/>
        <v>99</v>
      </c>
      <c r="I1328" t="str">
        <f t="shared" si="383"/>
        <v>0</v>
      </c>
      <c r="J1328" t="str">
        <f t="shared" si="388"/>
        <v>00</v>
      </c>
      <c r="K1328">
        <v>20150331</v>
      </c>
      <c r="L1328" t="str">
        <f>"014880"</f>
        <v>014880</v>
      </c>
      <c r="M1328" t="str">
        <f>"00687"</f>
        <v>00687</v>
      </c>
      <c r="N1328" t="s">
        <v>337</v>
      </c>
      <c r="O1328">
        <v>105</v>
      </c>
      <c r="Q1328" t="s">
        <v>33</v>
      </c>
      <c r="R1328" t="s">
        <v>34</v>
      </c>
      <c r="S1328" t="s">
        <v>35</v>
      </c>
      <c r="T1328" t="s">
        <v>35</v>
      </c>
      <c r="U1328" t="s">
        <v>34</v>
      </c>
      <c r="V1328" t="str">
        <f>""</f>
        <v/>
      </c>
      <c r="W1328">
        <v>20150331</v>
      </c>
      <c r="X1328" t="s">
        <v>183</v>
      </c>
      <c r="Y1328" t="s">
        <v>338</v>
      </c>
      <c r="Z1328" t="s">
        <v>338</v>
      </c>
      <c r="AA1328">
        <v>0</v>
      </c>
      <c r="AB1328" t="s">
        <v>142</v>
      </c>
      <c r="AC1328" t="s">
        <v>143</v>
      </c>
      <c r="AD1328" t="s">
        <v>40</v>
      </c>
      <c r="AE1328" t="str">
        <f t="shared" si="395"/>
        <v>03</v>
      </c>
      <c r="AF1328" t="s">
        <v>40</v>
      </c>
    </row>
    <row r="1329" spans="1:32" x14ac:dyDescent="0.25">
      <c r="A1329">
        <v>5</v>
      </c>
      <c r="B1329">
        <v>420</v>
      </c>
      <c r="C1329" t="str">
        <f t="shared" si="400"/>
        <v>51</v>
      </c>
      <c r="D1329">
        <v>6219</v>
      </c>
      <c r="E1329" t="str">
        <f t="shared" si="399"/>
        <v>00</v>
      </c>
      <c r="F1329" t="str">
        <f t="shared" si="397"/>
        <v>999</v>
      </c>
      <c r="G1329">
        <v>5</v>
      </c>
      <c r="H1329" t="str">
        <f t="shared" si="398"/>
        <v>99</v>
      </c>
      <c r="I1329" t="str">
        <f t="shared" si="383"/>
        <v>0</v>
      </c>
      <c r="J1329" t="str">
        <f t="shared" ref="J1329:J1350" si="401">"00"</f>
        <v>00</v>
      </c>
      <c r="K1329">
        <v>20150331</v>
      </c>
      <c r="L1329" t="str">
        <f>"014880"</f>
        <v>014880</v>
      </c>
      <c r="M1329" t="str">
        <f>"00687"</f>
        <v>00687</v>
      </c>
      <c r="N1329" t="s">
        <v>337</v>
      </c>
      <c r="O1329">
        <v>120</v>
      </c>
      <c r="Q1329" t="s">
        <v>33</v>
      </c>
      <c r="R1329" t="s">
        <v>34</v>
      </c>
      <c r="S1329" t="s">
        <v>35</v>
      </c>
      <c r="T1329" t="s">
        <v>35</v>
      </c>
      <c r="U1329" t="s">
        <v>34</v>
      </c>
      <c r="V1329" t="str">
        <f>""</f>
        <v/>
      </c>
      <c r="W1329">
        <v>20150331</v>
      </c>
      <c r="X1329" t="s">
        <v>183</v>
      </c>
      <c r="Y1329" t="s">
        <v>338</v>
      </c>
      <c r="Z1329" t="s">
        <v>338</v>
      </c>
      <c r="AA1329">
        <v>0</v>
      </c>
      <c r="AB1329" t="s">
        <v>142</v>
      </c>
      <c r="AC1329" t="s">
        <v>143</v>
      </c>
      <c r="AD1329" t="s">
        <v>40</v>
      </c>
      <c r="AE1329" t="str">
        <f t="shared" si="395"/>
        <v>03</v>
      </c>
      <c r="AF1329" t="s">
        <v>40</v>
      </c>
    </row>
    <row r="1330" spans="1:32" x14ac:dyDescent="0.25">
      <c r="A1330">
        <v>5</v>
      </c>
      <c r="B1330">
        <v>420</v>
      </c>
      <c r="C1330" t="str">
        <f t="shared" si="400"/>
        <v>51</v>
      </c>
      <c r="D1330">
        <v>6259</v>
      </c>
      <c r="E1330" t="str">
        <f>"53"</f>
        <v>53</v>
      </c>
      <c r="F1330" t="str">
        <f t="shared" si="397"/>
        <v>999</v>
      </c>
      <c r="G1330">
        <v>5</v>
      </c>
      <c r="H1330" t="str">
        <f t="shared" si="398"/>
        <v>99</v>
      </c>
      <c r="I1330" t="str">
        <f t="shared" si="383"/>
        <v>0</v>
      </c>
      <c r="J1330" t="str">
        <f t="shared" si="401"/>
        <v>00</v>
      </c>
      <c r="K1330">
        <v>20150331</v>
      </c>
      <c r="L1330" t="str">
        <f>"014881"</f>
        <v>014881</v>
      </c>
      <c r="M1330" t="str">
        <f>"00726"</f>
        <v>00726</v>
      </c>
      <c r="N1330" t="s">
        <v>227</v>
      </c>
      <c r="O1330" s="1">
        <v>2638.02</v>
      </c>
      <c r="Q1330" t="s">
        <v>33</v>
      </c>
      <c r="R1330" t="s">
        <v>34</v>
      </c>
      <c r="S1330" t="s">
        <v>35</v>
      </c>
      <c r="T1330" t="s">
        <v>35</v>
      </c>
      <c r="U1330" t="s">
        <v>34</v>
      </c>
      <c r="V1330" t="str">
        <f>""</f>
        <v/>
      </c>
      <c r="W1330">
        <v>20150331</v>
      </c>
      <c r="X1330" t="s">
        <v>228</v>
      </c>
      <c r="Y1330" t="s">
        <v>229</v>
      </c>
      <c r="Z1330" t="s">
        <v>229</v>
      </c>
      <c r="AA1330">
        <v>0</v>
      </c>
      <c r="AB1330" t="s">
        <v>142</v>
      </c>
      <c r="AC1330" t="s">
        <v>143</v>
      </c>
      <c r="AD1330" t="s">
        <v>40</v>
      </c>
      <c r="AE1330" t="str">
        <f t="shared" si="395"/>
        <v>03</v>
      </c>
      <c r="AF1330" t="s">
        <v>40</v>
      </c>
    </row>
    <row r="1331" spans="1:32" x14ac:dyDescent="0.25">
      <c r="A1331">
        <v>5</v>
      </c>
      <c r="B1331">
        <v>420</v>
      </c>
      <c r="C1331" t="str">
        <f t="shared" si="400"/>
        <v>51</v>
      </c>
      <c r="D1331">
        <v>6259</v>
      </c>
      <c r="E1331" t="str">
        <f>"53"</f>
        <v>53</v>
      </c>
      <c r="F1331" t="str">
        <f t="shared" si="397"/>
        <v>999</v>
      </c>
      <c r="G1331">
        <v>5</v>
      </c>
      <c r="H1331" t="str">
        <f t="shared" si="398"/>
        <v>99</v>
      </c>
      <c r="I1331" t="str">
        <f t="shared" si="383"/>
        <v>0</v>
      </c>
      <c r="J1331" t="str">
        <f t="shared" si="401"/>
        <v>00</v>
      </c>
      <c r="K1331">
        <v>20150331</v>
      </c>
      <c r="L1331" t="str">
        <f>"014881"</f>
        <v>014881</v>
      </c>
      <c r="M1331" t="str">
        <f>"00726"</f>
        <v>00726</v>
      </c>
      <c r="N1331" t="s">
        <v>227</v>
      </c>
      <c r="O1331" s="1">
        <v>2858.27</v>
      </c>
      <c r="Q1331" t="s">
        <v>33</v>
      </c>
      <c r="R1331" t="s">
        <v>34</v>
      </c>
      <c r="S1331" t="s">
        <v>35</v>
      </c>
      <c r="T1331" t="s">
        <v>35</v>
      </c>
      <c r="U1331" t="s">
        <v>34</v>
      </c>
      <c r="V1331" t="str">
        <f>""</f>
        <v/>
      </c>
      <c r="W1331">
        <v>20150331</v>
      </c>
      <c r="X1331" t="s">
        <v>228</v>
      </c>
      <c r="Y1331" t="s">
        <v>229</v>
      </c>
      <c r="Z1331" t="s">
        <v>229</v>
      </c>
      <c r="AA1331">
        <v>0</v>
      </c>
      <c r="AB1331" t="s">
        <v>142</v>
      </c>
      <c r="AC1331" t="s">
        <v>143</v>
      </c>
      <c r="AD1331" t="s">
        <v>40</v>
      </c>
      <c r="AE1331" t="str">
        <f t="shared" si="395"/>
        <v>03</v>
      </c>
      <c r="AF1331" t="s">
        <v>40</v>
      </c>
    </row>
    <row r="1332" spans="1:32" x14ac:dyDescent="0.25">
      <c r="A1332">
        <v>5</v>
      </c>
      <c r="B1332">
        <v>420</v>
      </c>
      <c r="C1332" t="str">
        <f t="shared" si="400"/>
        <v>51</v>
      </c>
      <c r="D1332">
        <v>6259</v>
      </c>
      <c r="E1332" t="str">
        <f>"53"</f>
        <v>53</v>
      </c>
      <c r="F1332" t="str">
        <f t="shared" si="397"/>
        <v>999</v>
      </c>
      <c r="G1332">
        <v>5</v>
      </c>
      <c r="H1332" t="str">
        <f t="shared" si="398"/>
        <v>99</v>
      </c>
      <c r="I1332" t="str">
        <f t="shared" si="383"/>
        <v>0</v>
      </c>
      <c r="J1332" t="str">
        <f t="shared" si="401"/>
        <v>00</v>
      </c>
      <c r="K1332">
        <v>20150331</v>
      </c>
      <c r="L1332" t="str">
        <f>"014881"</f>
        <v>014881</v>
      </c>
      <c r="M1332" t="str">
        <f>"00726"</f>
        <v>00726</v>
      </c>
      <c r="N1332" t="s">
        <v>227</v>
      </c>
      <c r="O1332" s="1">
        <v>1029.76</v>
      </c>
      <c r="Q1332" t="s">
        <v>33</v>
      </c>
      <c r="R1332" t="s">
        <v>34</v>
      </c>
      <c r="S1332" t="s">
        <v>35</v>
      </c>
      <c r="T1332" t="s">
        <v>35</v>
      </c>
      <c r="U1332" t="s">
        <v>34</v>
      </c>
      <c r="V1332" t="str">
        <f>""</f>
        <v/>
      </c>
      <c r="W1332">
        <v>20150331</v>
      </c>
      <c r="X1332" t="s">
        <v>228</v>
      </c>
      <c r="Y1332" t="s">
        <v>229</v>
      </c>
      <c r="Z1332" t="s">
        <v>229</v>
      </c>
      <c r="AA1332">
        <v>0</v>
      </c>
      <c r="AB1332" t="s">
        <v>142</v>
      </c>
      <c r="AC1332" t="s">
        <v>143</v>
      </c>
      <c r="AD1332" t="s">
        <v>40</v>
      </c>
      <c r="AE1332" t="str">
        <f t="shared" si="395"/>
        <v>03</v>
      </c>
      <c r="AF1332" t="s">
        <v>40</v>
      </c>
    </row>
    <row r="1333" spans="1:32" x14ac:dyDescent="0.25">
      <c r="A1333">
        <v>5</v>
      </c>
      <c r="B1333">
        <v>420</v>
      </c>
      <c r="C1333" t="str">
        <f t="shared" si="400"/>
        <v>51</v>
      </c>
      <c r="D1333">
        <v>6259</v>
      </c>
      <c r="E1333" t="str">
        <f>"53"</f>
        <v>53</v>
      </c>
      <c r="F1333" t="str">
        <f t="shared" si="397"/>
        <v>999</v>
      </c>
      <c r="G1333">
        <v>5</v>
      </c>
      <c r="H1333" t="str">
        <f t="shared" si="398"/>
        <v>99</v>
      </c>
      <c r="I1333" t="str">
        <f t="shared" si="383"/>
        <v>0</v>
      </c>
      <c r="J1333" t="str">
        <f t="shared" si="401"/>
        <v>00</v>
      </c>
      <c r="K1333">
        <v>20150331</v>
      </c>
      <c r="L1333" t="str">
        <f>"014881"</f>
        <v>014881</v>
      </c>
      <c r="M1333" t="str">
        <f>"00726"</f>
        <v>00726</v>
      </c>
      <c r="N1333" t="s">
        <v>227</v>
      </c>
      <c r="O1333" s="1">
        <v>1230.73</v>
      </c>
      <c r="Q1333" t="s">
        <v>33</v>
      </c>
      <c r="R1333" t="s">
        <v>34</v>
      </c>
      <c r="S1333" t="s">
        <v>35</v>
      </c>
      <c r="T1333" t="s">
        <v>35</v>
      </c>
      <c r="U1333" t="s">
        <v>34</v>
      </c>
      <c r="V1333" t="str">
        <f>""</f>
        <v/>
      </c>
      <c r="W1333">
        <v>20150331</v>
      </c>
      <c r="X1333" t="s">
        <v>228</v>
      </c>
      <c r="Y1333" t="s">
        <v>229</v>
      </c>
      <c r="Z1333" t="s">
        <v>229</v>
      </c>
      <c r="AA1333">
        <v>0</v>
      </c>
      <c r="AB1333" t="s">
        <v>142</v>
      </c>
      <c r="AC1333" t="s">
        <v>143</v>
      </c>
      <c r="AD1333" t="s">
        <v>40</v>
      </c>
      <c r="AE1333" t="str">
        <f t="shared" si="395"/>
        <v>03</v>
      </c>
      <c r="AF1333" t="s">
        <v>40</v>
      </c>
    </row>
    <row r="1334" spans="1:32" x14ac:dyDescent="0.25">
      <c r="A1334">
        <v>5</v>
      </c>
      <c r="B1334">
        <v>420</v>
      </c>
      <c r="C1334" t="str">
        <f>"13"</f>
        <v>13</v>
      </c>
      <c r="D1334">
        <v>6399</v>
      </c>
      <c r="E1334" t="str">
        <f t="shared" ref="E1334:E1368" si="402">"00"</f>
        <v>00</v>
      </c>
      <c r="F1334" t="str">
        <f>"001"</f>
        <v>001</v>
      </c>
      <c r="G1334">
        <v>5</v>
      </c>
      <c r="H1334" t="str">
        <f>"11"</f>
        <v>11</v>
      </c>
      <c r="I1334" t="str">
        <f t="shared" si="383"/>
        <v>0</v>
      </c>
      <c r="J1334" t="str">
        <f t="shared" si="401"/>
        <v>00</v>
      </c>
      <c r="K1334">
        <v>20150331</v>
      </c>
      <c r="L1334" t="str">
        <f>"014882"</f>
        <v>014882</v>
      </c>
      <c r="M1334" t="str">
        <f>"00222"</f>
        <v>00222</v>
      </c>
      <c r="N1334" t="s">
        <v>788</v>
      </c>
      <c r="O1334" s="1">
        <v>1308.43</v>
      </c>
      <c r="Q1334" t="s">
        <v>33</v>
      </c>
      <c r="R1334" t="s">
        <v>34</v>
      </c>
      <c r="S1334" t="s">
        <v>35</v>
      </c>
      <c r="T1334" t="s">
        <v>35</v>
      </c>
      <c r="U1334" t="s">
        <v>34</v>
      </c>
      <c r="V1334" t="str">
        <f>""</f>
        <v/>
      </c>
      <c r="W1334">
        <v>20150331</v>
      </c>
      <c r="X1334" t="s">
        <v>390</v>
      </c>
      <c r="Y1334" t="s">
        <v>789</v>
      </c>
      <c r="Z1334" t="s">
        <v>789</v>
      </c>
      <c r="AA1334">
        <v>0</v>
      </c>
      <c r="AB1334" t="s">
        <v>142</v>
      </c>
      <c r="AC1334" t="s">
        <v>41</v>
      </c>
      <c r="AD1334" t="s">
        <v>40</v>
      </c>
      <c r="AE1334" t="str">
        <f t="shared" si="395"/>
        <v>03</v>
      </c>
      <c r="AF1334" t="s">
        <v>40</v>
      </c>
    </row>
    <row r="1335" spans="1:32" x14ac:dyDescent="0.25">
      <c r="A1335">
        <v>5</v>
      </c>
      <c r="B1335">
        <v>420</v>
      </c>
      <c r="C1335" t="str">
        <f>"11"</f>
        <v>11</v>
      </c>
      <c r="D1335">
        <v>6399</v>
      </c>
      <c r="E1335" t="str">
        <f t="shared" si="402"/>
        <v>00</v>
      </c>
      <c r="F1335" t="str">
        <f>"001"</f>
        <v>001</v>
      </c>
      <c r="G1335">
        <v>5</v>
      </c>
      <c r="H1335" t="str">
        <f>"11"</f>
        <v>11</v>
      </c>
      <c r="I1335" t="str">
        <f t="shared" si="383"/>
        <v>0</v>
      </c>
      <c r="J1335" t="str">
        <f t="shared" si="401"/>
        <v>00</v>
      </c>
      <c r="K1335">
        <v>20150331</v>
      </c>
      <c r="L1335" t="str">
        <f>"014883"</f>
        <v>014883</v>
      </c>
      <c r="M1335" t="str">
        <f>"00274"</f>
        <v>00274</v>
      </c>
      <c r="N1335" t="s">
        <v>372</v>
      </c>
      <c r="O1335">
        <v>134.37</v>
      </c>
      <c r="Q1335" t="s">
        <v>33</v>
      </c>
      <c r="R1335" t="s">
        <v>34</v>
      </c>
      <c r="S1335" t="s">
        <v>35</v>
      </c>
      <c r="T1335" t="s">
        <v>35</v>
      </c>
      <c r="U1335" t="s">
        <v>34</v>
      </c>
      <c r="V1335" t="str">
        <f>""</f>
        <v/>
      </c>
      <c r="W1335">
        <v>20150331</v>
      </c>
      <c r="X1335" t="s">
        <v>239</v>
      </c>
      <c r="Y1335" t="s">
        <v>790</v>
      </c>
      <c r="Z1335" t="s">
        <v>790</v>
      </c>
      <c r="AA1335">
        <v>0</v>
      </c>
      <c r="AB1335" t="s">
        <v>142</v>
      </c>
      <c r="AC1335" t="s">
        <v>41</v>
      </c>
      <c r="AD1335" t="s">
        <v>40</v>
      </c>
      <c r="AE1335" t="str">
        <f t="shared" si="395"/>
        <v>03</v>
      </c>
      <c r="AF1335" t="s">
        <v>40</v>
      </c>
    </row>
    <row r="1336" spans="1:32" x14ac:dyDescent="0.25">
      <c r="A1336">
        <v>5</v>
      </c>
      <c r="B1336">
        <v>420</v>
      </c>
      <c r="C1336" t="str">
        <f>"11"</f>
        <v>11</v>
      </c>
      <c r="D1336">
        <v>6399</v>
      </c>
      <c r="E1336" t="str">
        <f t="shared" si="402"/>
        <v>00</v>
      </c>
      <c r="F1336" t="str">
        <f>"041"</f>
        <v>041</v>
      </c>
      <c r="G1336">
        <v>5</v>
      </c>
      <c r="H1336" t="str">
        <f>"11"</f>
        <v>11</v>
      </c>
      <c r="I1336" t="str">
        <f t="shared" si="383"/>
        <v>0</v>
      </c>
      <c r="J1336" t="str">
        <f t="shared" si="401"/>
        <v>00</v>
      </c>
      <c r="K1336">
        <v>20150331</v>
      </c>
      <c r="L1336" t="str">
        <f>"014883"</f>
        <v>014883</v>
      </c>
      <c r="M1336" t="str">
        <f>"00274"</f>
        <v>00274</v>
      </c>
      <c r="N1336" t="s">
        <v>372</v>
      </c>
      <c r="O1336">
        <v>134.38</v>
      </c>
      <c r="Q1336" t="s">
        <v>33</v>
      </c>
      <c r="R1336" t="s">
        <v>34</v>
      </c>
      <c r="S1336" t="s">
        <v>35</v>
      </c>
      <c r="T1336" t="s">
        <v>35</v>
      </c>
      <c r="U1336" t="s">
        <v>34</v>
      </c>
      <c r="V1336" t="str">
        <f>""</f>
        <v/>
      </c>
      <c r="W1336">
        <v>20150331</v>
      </c>
      <c r="X1336" t="s">
        <v>241</v>
      </c>
      <c r="Y1336" t="s">
        <v>790</v>
      </c>
      <c r="Z1336" t="s">
        <v>790</v>
      </c>
      <c r="AA1336">
        <v>0</v>
      </c>
      <c r="AB1336" t="s">
        <v>142</v>
      </c>
      <c r="AC1336" t="s">
        <v>41</v>
      </c>
      <c r="AD1336" t="s">
        <v>40</v>
      </c>
      <c r="AE1336" t="str">
        <f t="shared" si="395"/>
        <v>03</v>
      </c>
      <c r="AF1336" t="s">
        <v>40</v>
      </c>
    </row>
    <row r="1337" spans="1:32" x14ac:dyDescent="0.25">
      <c r="A1337">
        <v>5</v>
      </c>
      <c r="B1337">
        <v>420</v>
      </c>
      <c r="C1337" t="str">
        <f>"11"</f>
        <v>11</v>
      </c>
      <c r="D1337">
        <v>6399</v>
      </c>
      <c r="E1337" t="str">
        <f t="shared" si="402"/>
        <v>00</v>
      </c>
      <c r="F1337" t="str">
        <f>"101"</f>
        <v>101</v>
      </c>
      <c r="G1337">
        <v>5</v>
      </c>
      <c r="H1337" t="str">
        <f>"11"</f>
        <v>11</v>
      </c>
      <c r="I1337" t="str">
        <f t="shared" si="383"/>
        <v>0</v>
      </c>
      <c r="J1337" t="str">
        <f t="shared" si="401"/>
        <v>00</v>
      </c>
      <c r="K1337">
        <v>20150331</v>
      </c>
      <c r="L1337" t="str">
        <f>"014883"</f>
        <v>014883</v>
      </c>
      <c r="M1337" t="str">
        <f>"00274"</f>
        <v>00274</v>
      </c>
      <c r="N1337" t="s">
        <v>372</v>
      </c>
      <c r="O1337">
        <v>571.1</v>
      </c>
      <c r="Q1337" t="s">
        <v>33</v>
      </c>
      <c r="R1337" t="s">
        <v>34</v>
      </c>
      <c r="S1337" t="s">
        <v>35</v>
      </c>
      <c r="T1337" t="s">
        <v>35</v>
      </c>
      <c r="U1337" t="s">
        <v>34</v>
      </c>
      <c r="V1337" t="str">
        <f>""</f>
        <v/>
      </c>
      <c r="W1337">
        <v>20150331</v>
      </c>
      <c r="X1337" t="s">
        <v>246</v>
      </c>
      <c r="Y1337" t="s">
        <v>790</v>
      </c>
      <c r="Z1337" t="s">
        <v>790</v>
      </c>
      <c r="AA1337">
        <v>0</v>
      </c>
      <c r="AB1337" t="s">
        <v>142</v>
      </c>
      <c r="AC1337" t="s">
        <v>41</v>
      </c>
      <c r="AD1337" t="s">
        <v>40</v>
      </c>
      <c r="AE1337" t="str">
        <f t="shared" si="395"/>
        <v>03</v>
      </c>
      <c r="AF1337" t="s">
        <v>40</v>
      </c>
    </row>
    <row r="1338" spans="1:32" x14ac:dyDescent="0.25">
      <c r="A1338">
        <v>5</v>
      </c>
      <c r="B1338">
        <v>420</v>
      </c>
      <c r="C1338" t="str">
        <f>"11"</f>
        <v>11</v>
      </c>
      <c r="D1338">
        <v>6315</v>
      </c>
      <c r="E1338" t="str">
        <f t="shared" si="402"/>
        <v>00</v>
      </c>
      <c r="F1338" t="str">
        <f>"101"</f>
        <v>101</v>
      </c>
      <c r="G1338">
        <v>5</v>
      </c>
      <c r="H1338" t="str">
        <f>"11"</f>
        <v>11</v>
      </c>
      <c r="I1338" t="str">
        <f t="shared" si="383"/>
        <v>0</v>
      </c>
      <c r="J1338" t="str">
        <f t="shared" si="401"/>
        <v>00</v>
      </c>
      <c r="K1338">
        <v>20150331</v>
      </c>
      <c r="L1338" t="str">
        <f>"014884"</f>
        <v>014884</v>
      </c>
      <c r="M1338" t="str">
        <f>"00310"</f>
        <v>00310</v>
      </c>
      <c r="N1338" t="s">
        <v>589</v>
      </c>
      <c r="O1338">
        <v>219.92</v>
      </c>
      <c r="Q1338" t="s">
        <v>33</v>
      </c>
      <c r="R1338" t="s">
        <v>34</v>
      </c>
      <c r="S1338" t="s">
        <v>35</v>
      </c>
      <c r="T1338" t="s">
        <v>35</v>
      </c>
      <c r="U1338" t="s">
        <v>34</v>
      </c>
      <c r="V1338" t="str">
        <f>""</f>
        <v/>
      </c>
      <c r="W1338">
        <v>20150331</v>
      </c>
      <c r="X1338" t="s">
        <v>482</v>
      </c>
      <c r="Y1338" t="s">
        <v>791</v>
      </c>
      <c r="Z1338" t="s">
        <v>791</v>
      </c>
      <c r="AA1338">
        <v>0</v>
      </c>
      <c r="AB1338" t="s">
        <v>142</v>
      </c>
      <c r="AC1338" t="s">
        <v>41</v>
      </c>
      <c r="AD1338" t="s">
        <v>40</v>
      </c>
      <c r="AE1338" t="str">
        <f t="shared" ref="AE1338:AE1345" si="403">"03"</f>
        <v>03</v>
      </c>
      <c r="AF1338" t="s">
        <v>40</v>
      </c>
    </row>
    <row r="1339" spans="1:32" x14ac:dyDescent="0.25">
      <c r="A1339">
        <v>5</v>
      </c>
      <c r="B1339">
        <v>240</v>
      </c>
      <c r="C1339" t="str">
        <f>"35"</f>
        <v>35</v>
      </c>
      <c r="D1339">
        <v>6341</v>
      </c>
      <c r="E1339" t="str">
        <f t="shared" si="402"/>
        <v>00</v>
      </c>
      <c r="F1339" t="str">
        <f>"999"</f>
        <v>999</v>
      </c>
      <c r="G1339">
        <v>5</v>
      </c>
      <c r="H1339" t="str">
        <f>"99"</f>
        <v>99</v>
      </c>
      <c r="I1339" t="str">
        <f t="shared" si="383"/>
        <v>0</v>
      </c>
      <c r="J1339" t="str">
        <f t="shared" si="401"/>
        <v>00</v>
      </c>
      <c r="K1339">
        <v>20150331</v>
      </c>
      <c r="L1339" t="str">
        <f>"014885"</f>
        <v>014885</v>
      </c>
      <c r="M1339" t="str">
        <f>"00391"</f>
        <v>00391</v>
      </c>
      <c r="N1339" t="s">
        <v>265</v>
      </c>
      <c r="O1339" s="1">
        <v>1202.79</v>
      </c>
      <c r="Q1339" t="s">
        <v>33</v>
      </c>
      <c r="R1339" t="s">
        <v>34</v>
      </c>
      <c r="S1339" t="s">
        <v>35</v>
      </c>
      <c r="T1339" t="s">
        <v>35</v>
      </c>
      <c r="U1339" t="s">
        <v>34</v>
      </c>
      <c r="V1339" t="str">
        <f>""</f>
        <v/>
      </c>
      <c r="W1339">
        <v>20150331</v>
      </c>
      <c r="X1339" t="s">
        <v>268</v>
      </c>
      <c r="Y1339" t="s">
        <v>266</v>
      </c>
      <c r="Z1339" t="s">
        <v>266</v>
      </c>
      <c r="AA1339">
        <v>0</v>
      </c>
      <c r="AB1339" t="s">
        <v>238</v>
      </c>
      <c r="AC1339" t="s">
        <v>143</v>
      </c>
      <c r="AD1339" t="s">
        <v>40</v>
      </c>
      <c r="AE1339" t="str">
        <f t="shared" si="403"/>
        <v>03</v>
      </c>
      <c r="AF1339" t="s">
        <v>40</v>
      </c>
    </row>
    <row r="1340" spans="1:32" x14ac:dyDescent="0.25">
      <c r="A1340">
        <v>5</v>
      </c>
      <c r="B1340">
        <v>240</v>
      </c>
      <c r="C1340" t="str">
        <f>"35"</f>
        <v>35</v>
      </c>
      <c r="D1340">
        <v>6341</v>
      </c>
      <c r="E1340" t="str">
        <f t="shared" si="402"/>
        <v>00</v>
      </c>
      <c r="F1340" t="str">
        <f>"999"</f>
        <v>999</v>
      </c>
      <c r="G1340">
        <v>5</v>
      </c>
      <c r="H1340" t="str">
        <f>"99"</f>
        <v>99</v>
      </c>
      <c r="I1340" t="str">
        <f t="shared" si="383"/>
        <v>0</v>
      </c>
      <c r="J1340" t="str">
        <f t="shared" si="401"/>
        <v>00</v>
      </c>
      <c r="K1340">
        <v>20150331</v>
      </c>
      <c r="L1340" t="str">
        <f>"014885"</f>
        <v>014885</v>
      </c>
      <c r="M1340" t="str">
        <f>"00391"</f>
        <v>00391</v>
      </c>
      <c r="N1340" t="s">
        <v>265</v>
      </c>
      <c r="O1340">
        <v>310.83999999999997</v>
      </c>
      <c r="Q1340" t="s">
        <v>33</v>
      </c>
      <c r="R1340" t="s">
        <v>34</v>
      </c>
      <c r="S1340" t="s">
        <v>35</v>
      </c>
      <c r="T1340" t="s">
        <v>35</v>
      </c>
      <c r="U1340" t="s">
        <v>34</v>
      </c>
      <c r="V1340" t="str">
        <f>""</f>
        <v/>
      </c>
      <c r="W1340">
        <v>20150331</v>
      </c>
      <c r="X1340" t="s">
        <v>268</v>
      </c>
      <c r="Y1340" t="s">
        <v>266</v>
      </c>
      <c r="Z1340" t="s">
        <v>266</v>
      </c>
      <c r="AA1340">
        <v>0</v>
      </c>
      <c r="AB1340" t="s">
        <v>238</v>
      </c>
      <c r="AC1340" t="s">
        <v>143</v>
      </c>
      <c r="AD1340" t="s">
        <v>40</v>
      </c>
      <c r="AE1340" t="str">
        <f t="shared" si="403"/>
        <v>03</v>
      </c>
      <c r="AF1340" t="s">
        <v>40</v>
      </c>
    </row>
    <row r="1341" spans="1:32" x14ac:dyDescent="0.25">
      <c r="A1341">
        <v>5</v>
      </c>
      <c r="B1341">
        <v>240</v>
      </c>
      <c r="C1341" t="str">
        <f>"35"</f>
        <v>35</v>
      </c>
      <c r="D1341">
        <v>6342</v>
      </c>
      <c r="E1341" t="str">
        <f t="shared" si="402"/>
        <v>00</v>
      </c>
      <c r="F1341" t="str">
        <f>"999"</f>
        <v>999</v>
      </c>
      <c r="G1341">
        <v>5</v>
      </c>
      <c r="H1341" t="str">
        <f>"99"</f>
        <v>99</v>
      </c>
      <c r="I1341" t="str">
        <f t="shared" si="383"/>
        <v>0</v>
      </c>
      <c r="J1341" t="str">
        <f t="shared" si="401"/>
        <v>00</v>
      </c>
      <c r="K1341">
        <v>20150331</v>
      </c>
      <c r="L1341" t="str">
        <f>"014885"</f>
        <v>014885</v>
      </c>
      <c r="M1341" t="str">
        <f>"00391"</f>
        <v>00391</v>
      </c>
      <c r="N1341" t="s">
        <v>265</v>
      </c>
      <c r="O1341">
        <v>67.23</v>
      </c>
      <c r="Q1341" t="s">
        <v>33</v>
      </c>
      <c r="R1341" t="s">
        <v>34</v>
      </c>
      <c r="S1341" t="s">
        <v>35</v>
      </c>
      <c r="T1341" t="s">
        <v>35</v>
      </c>
      <c r="U1341" t="s">
        <v>34</v>
      </c>
      <c r="V1341" t="str">
        <f>""</f>
        <v/>
      </c>
      <c r="W1341">
        <v>20150331</v>
      </c>
      <c r="X1341" t="s">
        <v>269</v>
      </c>
      <c r="Y1341" t="s">
        <v>266</v>
      </c>
      <c r="Z1341" t="s">
        <v>266</v>
      </c>
      <c r="AA1341">
        <v>0</v>
      </c>
      <c r="AB1341" t="s">
        <v>238</v>
      </c>
      <c r="AC1341" t="s">
        <v>143</v>
      </c>
      <c r="AD1341" t="s">
        <v>40</v>
      </c>
      <c r="AE1341" t="str">
        <f t="shared" si="403"/>
        <v>03</v>
      </c>
      <c r="AF1341" t="s">
        <v>40</v>
      </c>
    </row>
    <row r="1342" spans="1:32" x14ac:dyDescent="0.25">
      <c r="A1342">
        <v>5</v>
      </c>
      <c r="B1342">
        <v>240</v>
      </c>
      <c r="C1342" t="str">
        <f>"35"</f>
        <v>35</v>
      </c>
      <c r="D1342">
        <v>6342</v>
      </c>
      <c r="E1342" t="str">
        <f t="shared" si="402"/>
        <v>00</v>
      </c>
      <c r="F1342" t="str">
        <f>"999"</f>
        <v>999</v>
      </c>
      <c r="G1342">
        <v>5</v>
      </c>
      <c r="H1342" t="str">
        <f>"99"</f>
        <v>99</v>
      </c>
      <c r="I1342" t="str">
        <f t="shared" si="383"/>
        <v>0</v>
      </c>
      <c r="J1342" t="str">
        <f t="shared" si="401"/>
        <v>00</v>
      </c>
      <c r="K1342">
        <v>20150331</v>
      </c>
      <c r="L1342" t="str">
        <f>"014885"</f>
        <v>014885</v>
      </c>
      <c r="M1342" t="str">
        <f>"00391"</f>
        <v>00391</v>
      </c>
      <c r="N1342" t="s">
        <v>265</v>
      </c>
      <c r="O1342">
        <v>20.73</v>
      </c>
      <c r="Q1342" t="s">
        <v>33</v>
      </c>
      <c r="R1342" t="s">
        <v>34</v>
      </c>
      <c r="S1342" t="s">
        <v>35</v>
      </c>
      <c r="T1342" t="s">
        <v>35</v>
      </c>
      <c r="U1342" t="s">
        <v>34</v>
      </c>
      <c r="V1342" t="str">
        <f>""</f>
        <v/>
      </c>
      <c r="W1342">
        <v>20150331</v>
      </c>
      <c r="X1342" t="s">
        <v>269</v>
      </c>
      <c r="Y1342" t="s">
        <v>266</v>
      </c>
      <c r="Z1342" t="s">
        <v>266</v>
      </c>
      <c r="AA1342">
        <v>0</v>
      </c>
      <c r="AB1342" t="s">
        <v>238</v>
      </c>
      <c r="AC1342" t="s">
        <v>143</v>
      </c>
      <c r="AD1342" t="s">
        <v>40</v>
      </c>
      <c r="AE1342" t="str">
        <f t="shared" si="403"/>
        <v>03</v>
      </c>
      <c r="AF1342" t="s">
        <v>40</v>
      </c>
    </row>
    <row r="1343" spans="1:32" x14ac:dyDescent="0.25">
      <c r="A1343">
        <v>5</v>
      </c>
      <c r="B1343">
        <v>420</v>
      </c>
      <c r="C1343" t="str">
        <f>"11"</f>
        <v>11</v>
      </c>
      <c r="D1343">
        <v>6399</v>
      </c>
      <c r="E1343" t="str">
        <f t="shared" si="402"/>
        <v>00</v>
      </c>
      <c r="F1343" t="str">
        <f>"001"</f>
        <v>001</v>
      </c>
      <c r="G1343">
        <v>5</v>
      </c>
      <c r="H1343" t="str">
        <f>"11"</f>
        <v>11</v>
      </c>
      <c r="I1343" t="str">
        <f t="shared" si="383"/>
        <v>0</v>
      </c>
      <c r="J1343" t="str">
        <f t="shared" si="401"/>
        <v>00</v>
      </c>
      <c r="K1343">
        <v>20150331</v>
      </c>
      <c r="L1343" t="str">
        <f>"014887"</f>
        <v>014887</v>
      </c>
      <c r="M1343" t="str">
        <f>"00374"</f>
        <v>00374</v>
      </c>
      <c r="N1343" t="s">
        <v>408</v>
      </c>
      <c r="O1343">
        <v>44.64</v>
      </c>
      <c r="Q1343" t="s">
        <v>33</v>
      </c>
      <c r="R1343" t="s">
        <v>34</v>
      </c>
      <c r="S1343" t="s">
        <v>35</v>
      </c>
      <c r="T1343" t="s">
        <v>35</v>
      </c>
      <c r="U1343" t="s">
        <v>34</v>
      </c>
      <c r="V1343" t="str">
        <f>""</f>
        <v/>
      </c>
      <c r="W1343">
        <v>20150331</v>
      </c>
      <c r="X1343" t="s">
        <v>239</v>
      </c>
      <c r="Y1343" t="s">
        <v>503</v>
      </c>
      <c r="Z1343" t="s">
        <v>503</v>
      </c>
      <c r="AA1343">
        <v>0</v>
      </c>
      <c r="AB1343" t="s">
        <v>142</v>
      </c>
      <c r="AC1343" t="s">
        <v>41</v>
      </c>
      <c r="AD1343" t="s">
        <v>40</v>
      </c>
      <c r="AE1343" t="str">
        <f t="shared" si="403"/>
        <v>03</v>
      </c>
      <c r="AF1343" t="s">
        <v>40</v>
      </c>
    </row>
    <row r="1344" spans="1:32" x14ac:dyDescent="0.25">
      <c r="A1344">
        <v>5</v>
      </c>
      <c r="B1344">
        <v>420</v>
      </c>
      <c r="C1344" t="str">
        <f>"11"</f>
        <v>11</v>
      </c>
      <c r="D1344">
        <v>6399</v>
      </c>
      <c r="E1344" t="str">
        <f t="shared" si="402"/>
        <v>00</v>
      </c>
      <c r="F1344" t="str">
        <f>"041"</f>
        <v>041</v>
      </c>
      <c r="G1344">
        <v>5</v>
      </c>
      <c r="H1344" t="str">
        <f>"11"</f>
        <v>11</v>
      </c>
      <c r="I1344" t="str">
        <f t="shared" si="383"/>
        <v>0</v>
      </c>
      <c r="J1344" t="str">
        <f t="shared" si="401"/>
        <v>00</v>
      </c>
      <c r="K1344">
        <v>20150331</v>
      </c>
      <c r="L1344" t="str">
        <f>"014887"</f>
        <v>014887</v>
      </c>
      <c r="M1344" t="str">
        <f>"00374"</f>
        <v>00374</v>
      </c>
      <c r="N1344" t="s">
        <v>408</v>
      </c>
      <c r="O1344">
        <v>44.64</v>
      </c>
      <c r="Q1344" t="s">
        <v>33</v>
      </c>
      <c r="R1344" t="s">
        <v>34</v>
      </c>
      <c r="S1344" t="s">
        <v>35</v>
      </c>
      <c r="T1344" t="s">
        <v>35</v>
      </c>
      <c r="U1344" t="s">
        <v>34</v>
      </c>
      <c r="V1344" t="str">
        <f>""</f>
        <v/>
      </c>
      <c r="W1344">
        <v>20150331</v>
      </c>
      <c r="X1344" t="s">
        <v>241</v>
      </c>
      <c r="Y1344" t="s">
        <v>503</v>
      </c>
      <c r="Z1344" t="s">
        <v>503</v>
      </c>
      <c r="AA1344">
        <v>0</v>
      </c>
      <c r="AB1344" t="s">
        <v>142</v>
      </c>
      <c r="AC1344" t="s">
        <v>41</v>
      </c>
      <c r="AD1344" t="s">
        <v>40</v>
      </c>
      <c r="AE1344" t="str">
        <f t="shared" si="403"/>
        <v>03</v>
      </c>
      <c r="AF1344" t="s">
        <v>40</v>
      </c>
    </row>
    <row r="1345" spans="1:32" x14ac:dyDescent="0.25">
      <c r="A1345">
        <v>5</v>
      </c>
      <c r="B1345">
        <v>420</v>
      </c>
      <c r="C1345" t="str">
        <f>"11"</f>
        <v>11</v>
      </c>
      <c r="D1345">
        <v>6399</v>
      </c>
      <c r="E1345" t="str">
        <f t="shared" si="402"/>
        <v>00</v>
      </c>
      <c r="F1345" t="str">
        <f>"101"</f>
        <v>101</v>
      </c>
      <c r="G1345">
        <v>5</v>
      </c>
      <c r="H1345" t="str">
        <f>"11"</f>
        <v>11</v>
      </c>
      <c r="I1345" t="str">
        <f t="shared" si="383"/>
        <v>0</v>
      </c>
      <c r="J1345" t="str">
        <f t="shared" si="401"/>
        <v>00</v>
      </c>
      <c r="K1345">
        <v>20150331</v>
      </c>
      <c r="L1345" t="str">
        <f>"014887"</f>
        <v>014887</v>
      </c>
      <c r="M1345" t="str">
        <f>"00374"</f>
        <v>00374</v>
      </c>
      <c r="N1345" t="s">
        <v>408</v>
      </c>
      <c r="O1345">
        <v>181.72</v>
      </c>
      <c r="Q1345" t="s">
        <v>33</v>
      </c>
      <c r="R1345" t="s">
        <v>34</v>
      </c>
      <c r="S1345" t="s">
        <v>35</v>
      </c>
      <c r="T1345" t="s">
        <v>35</v>
      </c>
      <c r="U1345" t="s">
        <v>34</v>
      </c>
      <c r="V1345" t="str">
        <f>""</f>
        <v/>
      </c>
      <c r="W1345">
        <v>20150331</v>
      </c>
      <c r="X1345" t="s">
        <v>246</v>
      </c>
      <c r="Y1345" t="s">
        <v>503</v>
      </c>
      <c r="Z1345" t="s">
        <v>503</v>
      </c>
      <c r="AA1345">
        <v>0</v>
      </c>
      <c r="AB1345" t="s">
        <v>142</v>
      </c>
      <c r="AC1345" t="s">
        <v>41</v>
      </c>
      <c r="AD1345" t="s">
        <v>40</v>
      </c>
      <c r="AE1345" t="str">
        <f t="shared" si="403"/>
        <v>03</v>
      </c>
      <c r="AF1345" t="s">
        <v>40</v>
      </c>
    </row>
    <row r="1346" spans="1:32" x14ac:dyDescent="0.25">
      <c r="A1346">
        <v>5</v>
      </c>
      <c r="B1346">
        <v>420</v>
      </c>
      <c r="C1346" t="str">
        <f>"36"</f>
        <v>36</v>
      </c>
      <c r="D1346">
        <v>6219</v>
      </c>
      <c r="E1346" t="str">
        <f t="shared" si="402"/>
        <v>00</v>
      </c>
      <c r="F1346" t="str">
        <f>"999"</f>
        <v>999</v>
      </c>
      <c r="G1346">
        <v>5</v>
      </c>
      <c r="H1346" t="str">
        <f>"91"</f>
        <v>91</v>
      </c>
      <c r="I1346" t="str">
        <f t="shared" ref="I1346:I1409" si="404">"0"</f>
        <v>0</v>
      </c>
      <c r="J1346" t="str">
        <f t="shared" si="401"/>
        <v>00</v>
      </c>
      <c r="K1346">
        <v>20150408</v>
      </c>
      <c r="L1346" t="str">
        <f>"014888"</f>
        <v>014888</v>
      </c>
      <c r="M1346" t="str">
        <f>"00841"</f>
        <v>00841</v>
      </c>
      <c r="N1346" t="s">
        <v>792</v>
      </c>
      <c r="O1346">
        <v>127.2</v>
      </c>
      <c r="Q1346" t="s">
        <v>33</v>
      </c>
      <c r="R1346" t="s">
        <v>34</v>
      </c>
      <c r="S1346" t="s">
        <v>35</v>
      </c>
      <c r="T1346" t="s">
        <v>35</v>
      </c>
      <c r="U1346" t="s">
        <v>34</v>
      </c>
      <c r="V1346" t="str">
        <f>""</f>
        <v/>
      </c>
      <c r="W1346">
        <v>20150407</v>
      </c>
      <c r="X1346" t="s">
        <v>186</v>
      </c>
      <c r="Y1346" t="s">
        <v>793</v>
      </c>
      <c r="Z1346" t="s">
        <v>793</v>
      </c>
      <c r="AA1346">
        <v>0</v>
      </c>
      <c r="AB1346" t="s">
        <v>142</v>
      </c>
      <c r="AC1346" t="s">
        <v>143</v>
      </c>
      <c r="AD1346" t="s">
        <v>40</v>
      </c>
      <c r="AE1346" t="str">
        <f t="shared" ref="AE1346:AE1377" si="405">"04"</f>
        <v>04</v>
      </c>
      <c r="AF1346" t="s">
        <v>40</v>
      </c>
    </row>
    <row r="1347" spans="1:32" x14ac:dyDescent="0.25">
      <c r="A1347">
        <v>5</v>
      </c>
      <c r="B1347">
        <v>420</v>
      </c>
      <c r="C1347" t="str">
        <f>"11"</f>
        <v>11</v>
      </c>
      <c r="D1347">
        <v>6269</v>
      </c>
      <c r="E1347" t="str">
        <f t="shared" si="402"/>
        <v>00</v>
      </c>
      <c r="F1347" t="str">
        <f>"999"</f>
        <v>999</v>
      </c>
      <c r="G1347">
        <v>5</v>
      </c>
      <c r="H1347" t="str">
        <f>"11"</f>
        <v>11</v>
      </c>
      <c r="I1347" t="str">
        <f t="shared" si="404"/>
        <v>0</v>
      </c>
      <c r="J1347" t="str">
        <f t="shared" si="401"/>
        <v>00</v>
      </c>
      <c r="K1347">
        <v>20150408</v>
      </c>
      <c r="L1347" t="str">
        <f>"014889"</f>
        <v>014889</v>
      </c>
      <c r="M1347" t="str">
        <f>"00628"</f>
        <v>00628</v>
      </c>
      <c r="N1347" t="s">
        <v>212</v>
      </c>
      <c r="O1347">
        <v>301.88</v>
      </c>
      <c r="Q1347" t="s">
        <v>33</v>
      </c>
      <c r="R1347" t="s">
        <v>34</v>
      </c>
      <c r="S1347" t="s">
        <v>35</v>
      </c>
      <c r="T1347" t="s">
        <v>35</v>
      </c>
      <c r="U1347" t="s">
        <v>34</v>
      </c>
      <c r="V1347" t="str">
        <f>""</f>
        <v/>
      </c>
      <c r="W1347">
        <v>20150407</v>
      </c>
      <c r="X1347" t="s">
        <v>213</v>
      </c>
      <c r="Y1347" t="s">
        <v>214</v>
      </c>
      <c r="Z1347" t="s">
        <v>214</v>
      </c>
      <c r="AA1347">
        <v>0</v>
      </c>
      <c r="AB1347" t="s">
        <v>142</v>
      </c>
      <c r="AC1347" t="s">
        <v>143</v>
      </c>
      <c r="AD1347" t="s">
        <v>40</v>
      </c>
      <c r="AE1347" t="str">
        <f t="shared" si="405"/>
        <v>04</v>
      </c>
      <c r="AF1347" t="s">
        <v>40</v>
      </c>
    </row>
    <row r="1348" spans="1:32" x14ac:dyDescent="0.25">
      <c r="A1348">
        <v>5</v>
      </c>
      <c r="B1348">
        <v>420</v>
      </c>
      <c r="C1348" t="str">
        <f>"36"</f>
        <v>36</v>
      </c>
      <c r="D1348">
        <v>6219</v>
      </c>
      <c r="E1348" t="str">
        <f t="shared" si="402"/>
        <v>00</v>
      </c>
      <c r="F1348" t="str">
        <f>"999"</f>
        <v>999</v>
      </c>
      <c r="G1348">
        <v>5</v>
      </c>
      <c r="H1348" t="str">
        <f>"91"</f>
        <v>91</v>
      </c>
      <c r="I1348" t="str">
        <f t="shared" si="404"/>
        <v>0</v>
      </c>
      <c r="J1348" t="str">
        <f t="shared" si="401"/>
        <v>00</v>
      </c>
      <c r="K1348">
        <v>20150408</v>
      </c>
      <c r="L1348" t="str">
        <f>"014890"</f>
        <v>014890</v>
      </c>
      <c r="M1348" t="str">
        <f>"00840"</f>
        <v>00840</v>
      </c>
      <c r="N1348" t="s">
        <v>794</v>
      </c>
      <c r="O1348">
        <v>142.19999999999999</v>
      </c>
      <c r="Q1348" t="s">
        <v>33</v>
      </c>
      <c r="R1348" t="s">
        <v>34</v>
      </c>
      <c r="S1348" t="s">
        <v>35</v>
      </c>
      <c r="T1348" t="s">
        <v>35</v>
      </c>
      <c r="U1348" t="s">
        <v>34</v>
      </c>
      <c r="V1348" t="str">
        <f>""</f>
        <v/>
      </c>
      <c r="W1348">
        <v>20150407</v>
      </c>
      <c r="X1348" t="s">
        <v>186</v>
      </c>
      <c r="Y1348" t="s">
        <v>793</v>
      </c>
      <c r="Z1348" t="s">
        <v>793</v>
      </c>
      <c r="AA1348">
        <v>0</v>
      </c>
      <c r="AB1348" t="s">
        <v>142</v>
      </c>
      <c r="AC1348" t="s">
        <v>143</v>
      </c>
      <c r="AD1348" t="s">
        <v>40</v>
      </c>
      <c r="AE1348" t="str">
        <f t="shared" si="405"/>
        <v>04</v>
      </c>
      <c r="AF1348" t="s">
        <v>40</v>
      </c>
    </row>
    <row r="1349" spans="1:32" x14ac:dyDescent="0.25">
      <c r="A1349">
        <v>5</v>
      </c>
      <c r="B1349">
        <v>420</v>
      </c>
      <c r="C1349" t="str">
        <f>"51"</f>
        <v>51</v>
      </c>
      <c r="D1349">
        <v>6319</v>
      </c>
      <c r="E1349" t="str">
        <f t="shared" si="402"/>
        <v>00</v>
      </c>
      <c r="F1349" t="str">
        <f>"999"</f>
        <v>999</v>
      </c>
      <c r="G1349">
        <v>5</v>
      </c>
      <c r="H1349" t="str">
        <f>"99"</f>
        <v>99</v>
      </c>
      <c r="I1349" t="str">
        <f t="shared" si="404"/>
        <v>0</v>
      </c>
      <c r="J1349" t="str">
        <f t="shared" si="401"/>
        <v>00</v>
      </c>
      <c r="K1349">
        <v>20150408</v>
      </c>
      <c r="L1349" t="str">
        <f>"014891"</f>
        <v>014891</v>
      </c>
      <c r="M1349" t="str">
        <f>"00044"</f>
        <v>00044</v>
      </c>
      <c r="N1349" t="s">
        <v>644</v>
      </c>
      <c r="O1349">
        <v>103.96</v>
      </c>
      <c r="Q1349" t="s">
        <v>33</v>
      </c>
      <c r="R1349" t="s">
        <v>34</v>
      </c>
      <c r="S1349" t="s">
        <v>35</v>
      </c>
      <c r="T1349" t="s">
        <v>35</v>
      </c>
      <c r="U1349" t="s">
        <v>34</v>
      </c>
      <c r="V1349" t="str">
        <f>""</f>
        <v/>
      </c>
      <c r="W1349">
        <v>20150407</v>
      </c>
      <c r="X1349" t="s">
        <v>185</v>
      </c>
      <c r="Y1349" t="s">
        <v>795</v>
      </c>
      <c r="Z1349" t="s">
        <v>795</v>
      </c>
      <c r="AA1349">
        <v>0</v>
      </c>
      <c r="AB1349" t="s">
        <v>142</v>
      </c>
      <c r="AC1349" t="s">
        <v>143</v>
      </c>
      <c r="AD1349" t="s">
        <v>40</v>
      </c>
      <c r="AE1349" t="str">
        <f t="shared" si="405"/>
        <v>04</v>
      </c>
      <c r="AF1349" t="s">
        <v>40</v>
      </c>
    </row>
    <row r="1350" spans="1:32" x14ac:dyDescent="0.25">
      <c r="A1350">
        <v>5</v>
      </c>
      <c r="B1350">
        <v>420</v>
      </c>
      <c r="C1350" t="str">
        <f>"52"</f>
        <v>52</v>
      </c>
      <c r="D1350">
        <v>6219</v>
      </c>
      <c r="E1350" t="str">
        <f t="shared" si="402"/>
        <v>00</v>
      </c>
      <c r="F1350" t="str">
        <f>"999"</f>
        <v>999</v>
      </c>
      <c r="G1350">
        <v>5</v>
      </c>
      <c r="H1350" t="str">
        <f>"99"</f>
        <v>99</v>
      </c>
      <c r="I1350" t="str">
        <f t="shared" si="404"/>
        <v>0</v>
      </c>
      <c r="J1350" t="str">
        <f t="shared" si="401"/>
        <v>00</v>
      </c>
      <c r="K1350">
        <v>20150408</v>
      </c>
      <c r="L1350" t="str">
        <f>"014892"</f>
        <v>014892</v>
      </c>
      <c r="M1350" t="str">
        <f>"00392"</f>
        <v>00392</v>
      </c>
      <c r="N1350" t="s">
        <v>218</v>
      </c>
      <c r="O1350">
        <v>35.950000000000003</v>
      </c>
      <c r="Q1350" t="s">
        <v>33</v>
      </c>
      <c r="R1350" t="s">
        <v>34</v>
      </c>
      <c r="S1350" t="s">
        <v>35</v>
      </c>
      <c r="T1350" t="s">
        <v>35</v>
      </c>
      <c r="U1350" t="s">
        <v>34</v>
      </c>
      <c r="V1350" t="str">
        <f>""</f>
        <v/>
      </c>
      <c r="W1350">
        <v>20150407</v>
      </c>
      <c r="X1350" t="s">
        <v>208</v>
      </c>
      <c r="Y1350" t="s">
        <v>219</v>
      </c>
      <c r="Z1350" t="s">
        <v>219</v>
      </c>
      <c r="AA1350">
        <v>0</v>
      </c>
      <c r="AB1350" t="s">
        <v>142</v>
      </c>
      <c r="AC1350" t="s">
        <v>143</v>
      </c>
      <c r="AD1350" t="s">
        <v>40</v>
      </c>
      <c r="AE1350" t="str">
        <f t="shared" si="405"/>
        <v>04</v>
      </c>
      <c r="AF1350" t="s">
        <v>40</v>
      </c>
    </row>
    <row r="1351" spans="1:32" x14ac:dyDescent="0.25">
      <c r="A1351">
        <v>5</v>
      </c>
      <c r="B1351">
        <v>420</v>
      </c>
      <c r="C1351" t="str">
        <f t="shared" ref="C1351:C1356" si="406">"11"</f>
        <v>11</v>
      </c>
      <c r="D1351">
        <v>6399</v>
      </c>
      <c r="E1351" t="str">
        <f t="shared" si="402"/>
        <v>00</v>
      </c>
      <c r="F1351" t="str">
        <f>"001"</f>
        <v>001</v>
      </c>
      <c r="G1351">
        <v>5</v>
      </c>
      <c r="H1351" t="str">
        <f t="shared" ref="H1351:H1356" si="407">"11"</f>
        <v>11</v>
      </c>
      <c r="I1351" t="str">
        <f t="shared" si="404"/>
        <v>0</v>
      </c>
      <c r="J1351" t="str">
        <f t="shared" ref="J1351:J1356" si="408">"22"</f>
        <v>22</v>
      </c>
      <c r="K1351">
        <v>20150408</v>
      </c>
      <c r="L1351" t="str">
        <f t="shared" ref="L1351:L1356" si="409">"014893"</f>
        <v>014893</v>
      </c>
      <c r="M1351" t="str">
        <f t="shared" ref="M1351:M1356" si="410">"00103"</f>
        <v>00103</v>
      </c>
      <c r="N1351" t="s">
        <v>506</v>
      </c>
      <c r="O1351">
        <v>112.83</v>
      </c>
      <c r="Q1351" t="s">
        <v>33</v>
      </c>
      <c r="R1351" t="s">
        <v>34</v>
      </c>
      <c r="S1351" t="s">
        <v>35</v>
      </c>
      <c r="T1351" t="s">
        <v>35</v>
      </c>
      <c r="U1351" t="s">
        <v>34</v>
      </c>
      <c r="V1351" t="str">
        <f>""</f>
        <v/>
      </c>
      <c r="W1351">
        <v>20150407</v>
      </c>
      <c r="X1351" t="s">
        <v>507</v>
      </c>
      <c r="Y1351" t="s">
        <v>796</v>
      </c>
      <c r="Z1351" t="s">
        <v>796</v>
      </c>
      <c r="AA1351">
        <v>0</v>
      </c>
      <c r="AB1351" t="s">
        <v>142</v>
      </c>
      <c r="AC1351" t="s">
        <v>41</v>
      </c>
      <c r="AD1351" t="s">
        <v>40</v>
      </c>
      <c r="AE1351" t="str">
        <f t="shared" si="405"/>
        <v>04</v>
      </c>
      <c r="AF1351" t="s">
        <v>40</v>
      </c>
    </row>
    <row r="1352" spans="1:32" x14ac:dyDescent="0.25">
      <c r="A1352">
        <v>5</v>
      </c>
      <c r="B1352">
        <v>420</v>
      </c>
      <c r="C1352" t="str">
        <f t="shared" si="406"/>
        <v>11</v>
      </c>
      <c r="D1352">
        <v>6399</v>
      </c>
      <c r="E1352" t="str">
        <f t="shared" si="402"/>
        <v>00</v>
      </c>
      <c r="F1352" t="str">
        <f>"001"</f>
        <v>001</v>
      </c>
      <c r="G1352">
        <v>5</v>
      </c>
      <c r="H1352" t="str">
        <f t="shared" si="407"/>
        <v>11</v>
      </c>
      <c r="I1352" t="str">
        <f t="shared" si="404"/>
        <v>0</v>
      </c>
      <c r="J1352" t="str">
        <f t="shared" si="408"/>
        <v>22</v>
      </c>
      <c r="K1352">
        <v>20150408</v>
      </c>
      <c r="L1352" t="str">
        <f t="shared" si="409"/>
        <v>014893</v>
      </c>
      <c r="M1352" t="str">
        <f t="shared" si="410"/>
        <v>00103</v>
      </c>
      <c r="N1352" t="s">
        <v>506</v>
      </c>
      <c r="O1352">
        <v>61.32</v>
      </c>
      <c r="Q1352" t="s">
        <v>33</v>
      </c>
      <c r="R1352" t="s">
        <v>34</v>
      </c>
      <c r="S1352" t="s">
        <v>35</v>
      </c>
      <c r="T1352" t="s">
        <v>35</v>
      </c>
      <c r="U1352" t="s">
        <v>34</v>
      </c>
      <c r="V1352" t="str">
        <f>""</f>
        <v/>
      </c>
      <c r="W1352">
        <v>20150407</v>
      </c>
      <c r="X1352" t="s">
        <v>507</v>
      </c>
      <c r="Y1352" t="s">
        <v>796</v>
      </c>
      <c r="Z1352" t="s">
        <v>796</v>
      </c>
      <c r="AA1352">
        <v>0</v>
      </c>
      <c r="AB1352" t="s">
        <v>142</v>
      </c>
      <c r="AC1352" t="s">
        <v>41</v>
      </c>
      <c r="AD1352" t="s">
        <v>40</v>
      </c>
      <c r="AE1352" t="str">
        <f t="shared" si="405"/>
        <v>04</v>
      </c>
      <c r="AF1352" t="s">
        <v>40</v>
      </c>
    </row>
    <row r="1353" spans="1:32" x14ac:dyDescent="0.25">
      <c r="A1353">
        <v>5</v>
      </c>
      <c r="B1353">
        <v>420</v>
      </c>
      <c r="C1353" t="str">
        <f t="shared" si="406"/>
        <v>11</v>
      </c>
      <c r="D1353">
        <v>6399</v>
      </c>
      <c r="E1353" t="str">
        <f t="shared" si="402"/>
        <v>00</v>
      </c>
      <c r="F1353" t="str">
        <f>"041"</f>
        <v>041</v>
      </c>
      <c r="G1353">
        <v>5</v>
      </c>
      <c r="H1353" t="str">
        <f t="shared" si="407"/>
        <v>11</v>
      </c>
      <c r="I1353" t="str">
        <f t="shared" si="404"/>
        <v>0</v>
      </c>
      <c r="J1353" t="str">
        <f t="shared" si="408"/>
        <v>22</v>
      </c>
      <c r="K1353">
        <v>20150408</v>
      </c>
      <c r="L1353" t="str">
        <f t="shared" si="409"/>
        <v>014893</v>
      </c>
      <c r="M1353" t="str">
        <f t="shared" si="410"/>
        <v>00103</v>
      </c>
      <c r="N1353" t="s">
        <v>506</v>
      </c>
      <c r="O1353">
        <v>112.83</v>
      </c>
      <c r="Q1353" t="s">
        <v>33</v>
      </c>
      <c r="R1353" t="s">
        <v>34</v>
      </c>
      <c r="S1353" t="s">
        <v>35</v>
      </c>
      <c r="T1353" t="s">
        <v>35</v>
      </c>
      <c r="U1353" t="s">
        <v>34</v>
      </c>
      <c r="V1353" t="str">
        <f>""</f>
        <v/>
      </c>
      <c r="W1353">
        <v>20150407</v>
      </c>
      <c r="X1353" t="s">
        <v>509</v>
      </c>
      <c r="Y1353" t="s">
        <v>796</v>
      </c>
      <c r="Z1353" t="s">
        <v>796</v>
      </c>
      <c r="AA1353">
        <v>0</v>
      </c>
      <c r="AB1353" t="s">
        <v>142</v>
      </c>
      <c r="AC1353" t="s">
        <v>41</v>
      </c>
      <c r="AD1353" t="s">
        <v>40</v>
      </c>
      <c r="AE1353" t="str">
        <f t="shared" si="405"/>
        <v>04</v>
      </c>
      <c r="AF1353" t="s">
        <v>40</v>
      </c>
    </row>
    <row r="1354" spans="1:32" x14ac:dyDescent="0.25">
      <c r="A1354">
        <v>5</v>
      </c>
      <c r="B1354">
        <v>420</v>
      </c>
      <c r="C1354" t="str">
        <f t="shared" si="406"/>
        <v>11</v>
      </c>
      <c r="D1354">
        <v>6399</v>
      </c>
      <c r="E1354" t="str">
        <f t="shared" si="402"/>
        <v>00</v>
      </c>
      <c r="F1354" t="str">
        <f>"041"</f>
        <v>041</v>
      </c>
      <c r="G1354">
        <v>5</v>
      </c>
      <c r="H1354" t="str">
        <f t="shared" si="407"/>
        <v>11</v>
      </c>
      <c r="I1354" t="str">
        <f t="shared" si="404"/>
        <v>0</v>
      </c>
      <c r="J1354" t="str">
        <f t="shared" si="408"/>
        <v>22</v>
      </c>
      <c r="K1354">
        <v>20150408</v>
      </c>
      <c r="L1354" t="str">
        <f t="shared" si="409"/>
        <v>014893</v>
      </c>
      <c r="M1354" t="str">
        <f t="shared" si="410"/>
        <v>00103</v>
      </c>
      <c r="N1354" t="s">
        <v>506</v>
      </c>
      <c r="O1354">
        <v>61.32</v>
      </c>
      <c r="Q1354" t="s">
        <v>33</v>
      </c>
      <c r="R1354" t="s">
        <v>34</v>
      </c>
      <c r="S1354" t="s">
        <v>35</v>
      </c>
      <c r="T1354" t="s">
        <v>35</v>
      </c>
      <c r="U1354" t="s">
        <v>34</v>
      </c>
      <c r="V1354" t="str">
        <f>""</f>
        <v/>
      </c>
      <c r="W1354">
        <v>20150407</v>
      </c>
      <c r="X1354" t="s">
        <v>509</v>
      </c>
      <c r="Y1354" t="s">
        <v>796</v>
      </c>
      <c r="Z1354" t="s">
        <v>796</v>
      </c>
      <c r="AA1354">
        <v>0</v>
      </c>
      <c r="AB1354" t="s">
        <v>142</v>
      </c>
      <c r="AC1354" t="s">
        <v>41</v>
      </c>
      <c r="AD1354" t="s">
        <v>40</v>
      </c>
      <c r="AE1354" t="str">
        <f t="shared" si="405"/>
        <v>04</v>
      </c>
      <c r="AF1354" t="s">
        <v>40</v>
      </c>
    </row>
    <row r="1355" spans="1:32" x14ac:dyDescent="0.25">
      <c r="A1355">
        <v>5</v>
      </c>
      <c r="B1355">
        <v>420</v>
      </c>
      <c r="C1355" t="str">
        <f t="shared" si="406"/>
        <v>11</v>
      </c>
      <c r="D1355">
        <v>6399</v>
      </c>
      <c r="E1355" t="str">
        <f t="shared" si="402"/>
        <v>00</v>
      </c>
      <c r="F1355" t="str">
        <f>"101"</f>
        <v>101</v>
      </c>
      <c r="G1355">
        <v>5</v>
      </c>
      <c r="H1355" t="str">
        <f t="shared" si="407"/>
        <v>11</v>
      </c>
      <c r="I1355" t="str">
        <f t="shared" si="404"/>
        <v>0</v>
      </c>
      <c r="J1355" t="str">
        <f t="shared" si="408"/>
        <v>22</v>
      </c>
      <c r="K1355">
        <v>20150408</v>
      </c>
      <c r="L1355" t="str">
        <f t="shared" si="409"/>
        <v>014893</v>
      </c>
      <c r="M1355" t="str">
        <f t="shared" si="410"/>
        <v>00103</v>
      </c>
      <c r="N1355" t="s">
        <v>506</v>
      </c>
      <c r="O1355">
        <v>479.52</v>
      </c>
      <c r="Q1355" t="s">
        <v>33</v>
      </c>
      <c r="R1355" t="s">
        <v>34</v>
      </c>
      <c r="S1355" t="s">
        <v>35</v>
      </c>
      <c r="T1355" t="s">
        <v>35</v>
      </c>
      <c r="U1355" t="s">
        <v>34</v>
      </c>
      <c r="V1355" t="str">
        <f>""</f>
        <v/>
      </c>
      <c r="W1355">
        <v>20150407</v>
      </c>
      <c r="X1355" t="s">
        <v>510</v>
      </c>
      <c r="Y1355" t="s">
        <v>796</v>
      </c>
      <c r="Z1355" t="s">
        <v>796</v>
      </c>
      <c r="AA1355">
        <v>0</v>
      </c>
      <c r="AB1355" t="s">
        <v>142</v>
      </c>
      <c r="AC1355" t="s">
        <v>41</v>
      </c>
      <c r="AD1355" t="s">
        <v>40</v>
      </c>
      <c r="AE1355" t="str">
        <f t="shared" si="405"/>
        <v>04</v>
      </c>
      <c r="AF1355" t="s">
        <v>40</v>
      </c>
    </row>
    <row r="1356" spans="1:32" x14ac:dyDescent="0.25">
      <c r="A1356">
        <v>5</v>
      </c>
      <c r="B1356">
        <v>420</v>
      </c>
      <c r="C1356" t="str">
        <f t="shared" si="406"/>
        <v>11</v>
      </c>
      <c r="D1356">
        <v>6399</v>
      </c>
      <c r="E1356" t="str">
        <f t="shared" si="402"/>
        <v>00</v>
      </c>
      <c r="F1356" t="str">
        <f>"101"</f>
        <v>101</v>
      </c>
      <c r="G1356">
        <v>5</v>
      </c>
      <c r="H1356" t="str">
        <f t="shared" si="407"/>
        <v>11</v>
      </c>
      <c r="I1356" t="str">
        <f t="shared" si="404"/>
        <v>0</v>
      </c>
      <c r="J1356" t="str">
        <f t="shared" si="408"/>
        <v>22</v>
      </c>
      <c r="K1356">
        <v>20150408</v>
      </c>
      <c r="L1356" t="str">
        <f t="shared" si="409"/>
        <v>014893</v>
      </c>
      <c r="M1356" t="str">
        <f t="shared" si="410"/>
        <v>00103</v>
      </c>
      <c r="N1356" t="s">
        <v>506</v>
      </c>
      <c r="O1356">
        <v>260.64</v>
      </c>
      <c r="Q1356" t="s">
        <v>33</v>
      </c>
      <c r="R1356" t="s">
        <v>34</v>
      </c>
      <c r="S1356" t="s">
        <v>35</v>
      </c>
      <c r="T1356" t="s">
        <v>35</v>
      </c>
      <c r="U1356" t="s">
        <v>34</v>
      </c>
      <c r="V1356" t="str">
        <f>""</f>
        <v/>
      </c>
      <c r="W1356">
        <v>20150407</v>
      </c>
      <c r="X1356" t="s">
        <v>510</v>
      </c>
      <c r="Y1356" t="s">
        <v>796</v>
      </c>
      <c r="Z1356" t="s">
        <v>796</v>
      </c>
      <c r="AA1356">
        <v>0</v>
      </c>
      <c r="AB1356" t="s">
        <v>142</v>
      </c>
      <c r="AC1356" t="s">
        <v>41</v>
      </c>
      <c r="AD1356" t="s">
        <v>40</v>
      </c>
      <c r="AE1356" t="str">
        <f t="shared" si="405"/>
        <v>04</v>
      </c>
      <c r="AF1356" t="s">
        <v>40</v>
      </c>
    </row>
    <row r="1357" spans="1:32" x14ac:dyDescent="0.25">
      <c r="A1357">
        <v>5</v>
      </c>
      <c r="B1357">
        <v>240</v>
      </c>
      <c r="C1357" t="str">
        <f>"35"</f>
        <v>35</v>
      </c>
      <c r="D1357">
        <v>6341</v>
      </c>
      <c r="E1357" t="str">
        <f t="shared" si="402"/>
        <v>00</v>
      </c>
      <c r="F1357" t="str">
        <f>"999"</f>
        <v>999</v>
      </c>
      <c r="G1357">
        <v>5</v>
      </c>
      <c r="H1357" t="str">
        <f>"99"</f>
        <v>99</v>
      </c>
      <c r="I1357" t="str">
        <f t="shared" si="404"/>
        <v>0</v>
      </c>
      <c r="J1357" t="str">
        <f t="shared" ref="J1357:J1383" si="411">"00"</f>
        <v>00</v>
      </c>
      <c r="K1357">
        <v>20150408</v>
      </c>
      <c r="L1357" t="str">
        <f>"014894"</f>
        <v>014894</v>
      </c>
      <c r="M1357" t="str">
        <f>"00048"</f>
        <v>00048</v>
      </c>
      <c r="N1357" t="s">
        <v>647</v>
      </c>
      <c r="O1357">
        <v>72.39</v>
      </c>
      <c r="Q1357" t="s">
        <v>33</v>
      </c>
      <c r="R1357" t="s">
        <v>34</v>
      </c>
      <c r="S1357" t="s">
        <v>35</v>
      </c>
      <c r="T1357" t="s">
        <v>35</v>
      </c>
      <c r="U1357" t="s">
        <v>34</v>
      </c>
      <c r="V1357" t="str">
        <f>""</f>
        <v/>
      </c>
      <c r="W1357">
        <v>20150407</v>
      </c>
      <c r="X1357" t="s">
        <v>268</v>
      </c>
      <c r="Y1357" t="s">
        <v>310</v>
      </c>
      <c r="Z1357" t="s">
        <v>310</v>
      </c>
      <c r="AA1357">
        <v>0</v>
      </c>
      <c r="AB1357" t="s">
        <v>238</v>
      </c>
      <c r="AC1357" t="s">
        <v>143</v>
      </c>
      <c r="AD1357" t="s">
        <v>40</v>
      </c>
      <c r="AE1357" t="str">
        <f t="shared" si="405"/>
        <v>04</v>
      </c>
      <c r="AF1357" t="s">
        <v>40</v>
      </c>
    </row>
    <row r="1358" spans="1:32" x14ac:dyDescent="0.25">
      <c r="A1358">
        <v>5</v>
      </c>
      <c r="B1358">
        <v>240</v>
      </c>
      <c r="C1358" t="str">
        <f>"35"</f>
        <v>35</v>
      </c>
      <c r="D1358">
        <v>6341</v>
      </c>
      <c r="E1358" t="str">
        <f t="shared" si="402"/>
        <v>00</v>
      </c>
      <c r="F1358" t="str">
        <f>"999"</f>
        <v>999</v>
      </c>
      <c r="G1358">
        <v>5</v>
      </c>
      <c r="H1358" t="str">
        <f>"99"</f>
        <v>99</v>
      </c>
      <c r="I1358" t="str">
        <f t="shared" si="404"/>
        <v>0</v>
      </c>
      <c r="J1358" t="str">
        <f t="shared" si="411"/>
        <v>00</v>
      </c>
      <c r="K1358">
        <v>20150408</v>
      </c>
      <c r="L1358" t="str">
        <f>"014894"</f>
        <v>014894</v>
      </c>
      <c r="M1358" t="str">
        <f>"00048"</f>
        <v>00048</v>
      </c>
      <c r="N1358" t="s">
        <v>647</v>
      </c>
      <c r="O1358">
        <v>111.24</v>
      </c>
      <c r="Q1358" t="s">
        <v>33</v>
      </c>
      <c r="R1358" t="s">
        <v>34</v>
      </c>
      <c r="S1358" t="s">
        <v>35</v>
      </c>
      <c r="T1358" t="s">
        <v>35</v>
      </c>
      <c r="U1358" t="s">
        <v>34</v>
      </c>
      <c r="V1358" t="str">
        <f>""</f>
        <v/>
      </c>
      <c r="W1358">
        <v>20150407</v>
      </c>
      <c r="X1358" t="s">
        <v>268</v>
      </c>
      <c r="Y1358" t="s">
        <v>310</v>
      </c>
      <c r="Z1358" t="s">
        <v>310</v>
      </c>
      <c r="AA1358">
        <v>0</v>
      </c>
      <c r="AB1358" t="s">
        <v>238</v>
      </c>
      <c r="AC1358" t="s">
        <v>143</v>
      </c>
      <c r="AD1358" t="s">
        <v>40</v>
      </c>
      <c r="AE1358" t="str">
        <f t="shared" si="405"/>
        <v>04</v>
      </c>
      <c r="AF1358" t="s">
        <v>40</v>
      </c>
    </row>
    <row r="1359" spans="1:32" x14ac:dyDescent="0.25">
      <c r="A1359">
        <v>5</v>
      </c>
      <c r="B1359">
        <v>420</v>
      </c>
      <c r="C1359" t="str">
        <f>"36"</f>
        <v>36</v>
      </c>
      <c r="D1359">
        <v>6399</v>
      </c>
      <c r="E1359" t="str">
        <f t="shared" si="402"/>
        <v>00</v>
      </c>
      <c r="F1359" t="str">
        <f>"001"</f>
        <v>001</v>
      </c>
      <c r="G1359">
        <v>5</v>
      </c>
      <c r="H1359" t="str">
        <f>"91"</f>
        <v>91</v>
      </c>
      <c r="I1359" t="str">
        <f t="shared" si="404"/>
        <v>0</v>
      </c>
      <c r="J1359" t="str">
        <f t="shared" si="411"/>
        <v>00</v>
      </c>
      <c r="K1359">
        <v>20150408</v>
      </c>
      <c r="L1359" t="str">
        <f>"014895"</f>
        <v>014895</v>
      </c>
      <c r="M1359" t="str">
        <f>"00717"</f>
        <v>00717</v>
      </c>
      <c r="N1359" t="s">
        <v>797</v>
      </c>
      <c r="O1359" s="1">
        <v>6573.75</v>
      </c>
      <c r="Q1359" t="s">
        <v>33</v>
      </c>
      <c r="R1359" t="s">
        <v>34</v>
      </c>
      <c r="S1359" t="s">
        <v>35</v>
      </c>
      <c r="T1359" t="s">
        <v>35</v>
      </c>
      <c r="U1359" t="s">
        <v>34</v>
      </c>
      <c r="V1359" t="str">
        <f>""</f>
        <v/>
      </c>
      <c r="W1359">
        <v>20150407</v>
      </c>
      <c r="X1359" t="s">
        <v>599</v>
      </c>
      <c r="Y1359" t="s">
        <v>798</v>
      </c>
      <c r="Z1359" t="s">
        <v>798</v>
      </c>
      <c r="AA1359">
        <v>0</v>
      </c>
      <c r="AB1359" t="s">
        <v>142</v>
      </c>
      <c r="AC1359" t="s">
        <v>41</v>
      </c>
      <c r="AD1359" t="s">
        <v>40</v>
      </c>
      <c r="AE1359" t="str">
        <f t="shared" si="405"/>
        <v>04</v>
      </c>
      <c r="AF1359" t="s">
        <v>40</v>
      </c>
    </row>
    <row r="1360" spans="1:32" x14ac:dyDescent="0.25">
      <c r="A1360">
        <v>5</v>
      </c>
      <c r="B1360">
        <v>420</v>
      </c>
      <c r="C1360" t="str">
        <f>"36"</f>
        <v>36</v>
      </c>
      <c r="D1360">
        <v>6219</v>
      </c>
      <c r="E1360" t="str">
        <f t="shared" si="402"/>
        <v>00</v>
      </c>
      <c r="F1360" t="str">
        <f t="shared" ref="F1360:F1383" si="412">"999"</f>
        <v>999</v>
      </c>
      <c r="G1360">
        <v>5</v>
      </c>
      <c r="H1360" t="str">
        <f>"91"</f>
        <v>91</v>
      </c>
      <c r="I1360" t="str">
        <f t="shared" si="404"/>
        <v>0</v>
      </c>
      <c r="J1360" t="str">
        <f t="shared" si="411"/>
        <v>00</v>
      </c>
      <c r="K1360">
        <v>20150408</v>
      </c>
      <c r="L1360" t="str">
        <f>"014896"</f>
        <v>014896</v>
      </c>
      <c r="M1360" t="str">
        <f>"00839"</f>
        <v>00839</v>
      </c>
      <c r="N1360" t="s">
        <v>799</v>
      </c>
      <c r="O1360">
        <v>140.52000000000001</v>
      </c>
      <c r="Q1360" t="s">
        <v>33</v>
      </c>
      <c r="R1360" t="s">
        <v>34</v>
      </c>
      <c r="S1360" t="s">
        <v>35</v>
      </c>
      <c r="T1360" t="s">
        <v>35</v>
      </c>
      <c r="U1360" t="s">
        <v>34</v>
      </c>
      <c r="V1360" t="str">
        <f>""</f>
        <v/>
      </c>
      <c r="W1360">
        <v>20150407</v>
      </c>
      <c r="X1360" t="s">
        <v>186</v>
      </c>
      <c r="Y1360" t="s">
        <v>793</v>
      </c>
      <c r="Z1360" t="s">
        <v>793</v>
      </c>
      <c r="AA1360">
        <v>0</v>
      </c>
      <c r="AB1360" t="s">
        <v>142</v>
      </c>
      <c r="AC1360" t="s">
        <v>143</v>
      </c>
      <c r="AD1360" t="s">
        <v>40</v>
      </c>
      <c r="AE1360" t="str">
        <f t="shared" si="405"/>
        <v>04</v>
      </c>
      <c r="AF1360" t="s">
        <v>40</v>
      </c>
    </row>
    <row r="1361" spans="1:32" x14ac:dyDescent="0.25">
      <c r="A1361">
        <v>5</v>
      </c>
      <c r="B1361">
        <v>420</v>
      </c>
      <c r="C1361" t="str">
        <f>"51"</f>
        <v>51</v>
      </c>
      <c r="D1361">
        <v>6319</v>
      </c>
      <c r="E1361" t="str">
        <f t="shared" si="402"/>
        <v>00</v>
      </c>
      <c r="F1361" t="str">
        <f t="shared" si="412"/>
        <v>999</v>
      </c>
      <c r="G1361">
        <v>5</v>
      </c>
      <c r="H1361" t="str">
        <f>"99"</f>
        <v>99</v>
      </c>
      <c r="I1361" t="str">
        <f t="shared" si="404"/>
        <v>0</v>
      </c>
      <c r="J1361" t="str">
        <f t="shared" si="411"/>
        <v>00</v>
      </c>
      <c r="K1361">
        <v>20150408</v>
      </c>
      <c r="L1361" t="str">
        <f>"014897"</f>
        <v>014897</v>
      </c>
      <c r="M1361" t="str">
        <f>"00671"</f>
        <v>00671</v>
      </c>
      <c r="N1361" t="s">
        <v>605</v>
      </c>
      <c r="O1361">
        <v>78.52</v>
      </c>
      <c r="Q1361" t="s">
        <v>33</v>
      </c>
      <c r="R1361" t="s">
        <v>34</v>
      </c>
      <c r="S1361" t="s">
        <v>35</v>
      </c>
      <c r="T1361" t="s">
        <v>35</v>
      </c>
      <c r="U1361" t="s">
        <v>34</v>
      </c>
      <c r="V1361" t="str">
        <f>""</f>
        <v/>
      </c>
      <c r="W1361">
        <v>20150407</v>
      </c>
      <c r="X1361" t="s">
        <v>185</v>
      </c>
      <c r="Y1361" t="s">
        <v>800</v>
      </c>
      <c r="Z1361" t="s">
        <v>800</v>
      </c>
      <c r="AA1361">
        <v>0</v>
      </c>
      <c r="AB1361" t="s">
        <v>142</v>
      </c>
      <c r="AC1361" t="s">
        <v>143</v>
      </c>
      <c r="AD1361" t="s">
        <v>40</v>
      </c>
      <c r="AE1361" t="str">
        <f t="shared" si="405"/>
        <v>04</v>
      </c>
      <c r="AF1361" t="s">
        <v>40</v>
      </c>
    </row>
    <row r="1362" spans="1:32" x14ac:dyDescent="0.25">
      <c r="A1362">
        <v>5</v>
      </c>
      <c r="B1362">
        <v>420</v>
      </c>
      <c r="C1362" t="str">
        <f>"51"</f>
        <v>51</v>
      </c>
      <c r="D1362">
        <v>6319</v>
      </c>
      <c r="E1362" t="str">
        <f t="shared" si="402"/>
        <v>00</v>
      </c>
      <c r="F1362" t="str">
        <f t="shared" si="412"/>
        <v>999</v>
      </c>
      <c r="G1362">
        <v>5</v>
      </c>
      <c r="H1362" t="str">
        <f>"99"</f>
        <v>99</v>
      </c>
      <c r="I1362" t="str">
        <f t="shared" si="404"/>
        <v>0</v>
      </c>
      <c r="J1362" t="str">
        <f t="shared" si="411"/>
        <v>00</v>
      </c>
      <c r="K1362">
        <v>20150408</v>
      </c>
      <c r="L1362" t="str">
        <f>"014897"</f>
        <v>014897</v>
      </c>
      <c r="M1362" t="str">
        <f>"00671"</f>
        <v>00671</v>
      </c>
      <c r="N1362" t="s">
        <v>605</v>
      </c>
      <c r="O1362">
        <v>181.25</v>
      </c>
      <c r="Q1362" t="s">
        <v>33</v>
      </c>
      <c r="R1362" t="s">
        <v>34</v>
      </c>
      <c r="S1362" t="s">
        <v>35</v>
      </c>
      <c r="T1362" t="s">
        <v>35</v>
      </c>
      <c r="U1362" t="s">
        <v>34</v>
      </c>
      <c r="V1362" t="str">
        <f>""</f>
        <v/>
      </c>
      <c r="W1362">
        <v>20150407</v>
      </c>
      <c r="X1362" t="s">
        <v>185</v>
      </c>
      <c r="Y1362" t="s">
        <v>801</v>
      </c>
      <c r="Z1362" t="s">
        <v>801</v>
      </c>
      <c r="AA1362">
        <v>0</v>
      </c>
      <c r="AB1362" t="s">
        <v>142</v>
      </c>
      <c r="AC1362" t="s">
        <v>143</v>
      </c>
      <c r="AD1362" t="s">
        <v>40</v>
      </c>
      <c r="AE1362" t="str">
        <f t="shared" si="405"/>
        <v>04</v>
      </c>
      <c r="AF1362" t="s">
        <v>40</v>
      </c>
    </row>
    <row r="1363" spans="1:32" x14ac:dyDescent="0.25">
      <c r="A1363">
        <v>5</v>
      </c>
      <c r="B1363">
        <v>420</v>
      </c>
      <c r="C1363" t="str">
        <f>"51"</f>
        <v>51</v>
      </c>
      <c r="D1363">
        <v>6249</v>
      </c>
      <c r="E1363" t="str">
        <f t="shared" si="402"/>
        <v>00</v>
      </c>
      <c r="F1363" t="str">
        <f t="shared" si="412"/>
        <v>999</v>
      </c>
      <c r="G1363">
        <v>5</v>
      </c>
      <c r="H1363" t="str">
        <f>"99"</f>
        <v>99</v>
      </c>
      <c r="I1363" t="str">
        <f t="shared" si="404"/>
        <v>0</v>
      </c>
      <c r="J1363" t="str">
        <f t="shared" si="411"/>
        <v>00</v>
      </c>
      <c r="K1363">
        <v>20150408</v>
      </c>
      <c r="L1363" t="str">
        <f>"014898"</f>
        <v>014898</v>
      </c>
      <c r="M1363" t="str">
        <f>"00756"</f>
        <v>00756</v>
      </c>
      <c r="N1363" t="s">
        <v>339</v>
      </c>
      <c r="O1363">
        <v>520</v>
      </c>
      <c r="Q1363" t="s">
        <v>33</v>
      </c>
      <c r="R1363" t="s">
        <v>34</v>
      </c>
      <c r="S1363" t="s">
        <v>35</v>
      </c>
      <c r="T1363" t="s">
        <v>35</v>
      </c>
      <c r="U1363" t="s">
        <v>34</v>
      </c>
      <c r="V1363" t="str">
        <f>""</f>
        <v/>
      </c>
      <c r="W1363">
        <v>20150407</v>
      </c>
      <c r="X1363" t="s">
        <v>314</v>
      </c>
      <c r="Y1363" t="s">
        <v>315</v>
      </c>
      <c r="Z1363" t="s">
        <v>315</v>
      </c>
      <c r="AA1363">
        <v>0</v>
      </c>
      <c r="AB1363" t="s">
        <v>142</v>
      </c>
      <c r="AC1363" t="s">
        <v>143</v>
      </c>
      <c r="AD1363" t="s">
        <v>40</v>
      </c>
      <c r="AE1363" t="str">
        <f t="shared" si="405"/>
        <v>04</v>
      </c>
      <c r="AF1363" t="s">
        <v>40</v>
      </c>
    </row>
    <row r="1364" spans="1:32" x14ac:dyDescent="0.25">
      <c r="A1364">
        <v>5</v>
      </c>
      <c r="B1364">
        <v>420</v>
      </c>
      <c r="C1364" t="str">
        <f>"36"</f>
        <v>36</v>
      </c>
      <c r="D1364">
        <v>6219</v>
      </c>
      <c r="E1364" t="str">
        <f t="shared" si="402"/>
        <v>00</v>
      </c>
      <c r="F1364" t="str">
        <f t="shared" si="412"/>
        <v>999</v>
      </c>
      <c r="G1364">
        <v>5</v>
      </c>
      <c r="H1364" t="str">
        <f>"91"</f>
        <v>91</v>
      </c>
      <c r="I1364" t="str">
        <f t="shared" si="404"/>
        <v>0</v>
      </c>
      <c r="J1364" t="str">
        <f t="shared" si="411"/>
        <v>00</v>
      </c>
      <c r="K1364">
        <v>20150408</v>
      </c>
      <c r="L1364" t="str">
        <f>"014899"</f>
        <v>014899</v>
      </c>
      <c r="M1364" t="str">
        <f>"00482"</f>
        <v>00482</v>
      </c>
      <c r="N1364" t="s">
        <v>802</v>
      </c>
      <c r="O1364">
        <v>67</v>
      </c>
      <c r="Q1364" t="s">
        <v>33</v>
      </c>
      <c r="R1364" t="s">
        <v>34</v>
      </c>
      <c r="S1364" t="s">
        <v>35</v>
      </c>
      <c r="T1364" t="s">
        <v>35</v>
      </c>
      <c r="U1364" t="s">
        <v>34</v>
      </c>
      <c r="V1364" t="str">
        <f>""</f>
        <v/>
      </c>
      <c r="W1364">
        <v>20150407</v>
      </c>
      <c r="X1364" t="s">
        <v>186</v>
      </c>
      <c r="Y1364" t="s">
        <v>793</v>
      </c>
      <c r="Z1364" t="s">
        <v>793</v>
      </c>
      <c r="AA1364">
        <v>0</v>
      </c>
      <c r="AB1364" t="s">
        <v>142</v>
      </c>
      <c r="AC1364" t="s">
        <v>143</v>
      </c>
      <c r="AD1364" t="s">
        <v>40</v>
      </c>
      <c r="AE1364" t="str">
        <f t="shared" si="405"/>
        <v>04</v>
      </c>
      <c r="AF1364" t="s">
        <v>40</v>
      </c>
    </row>
    <row r="1365" spans="1:32" x14ac:dyDescent="0.25">
      <c r="A1365">
        <v>5</v>
      </c>
      <c r="B1365">
        <v>420</v>
      </c>
      <c r="C1365" t="str">
        <f>"36"</f>
        <v>36</v>
      </c>
      <c r="D1365">
        <v>6219</v>
      </c>
      <c r="E1365" t="str">
        <f t="shared" si="402"/>
        <v>00</v>
      </c>
      <c r="F1365" t="str">
        <f t="shared" si="412"/>
        <v>999</v>
      </c>
      <c r="G1365">
        <v>5</v>
      </c>
      <c r="H1365" t="str">
        <f>"91"</f>
        <v>91</v>
      </c>
      <c r="I1365" t="str">
        <f t="shared" si="404"/>
        <v>0</v>
      </c>
      <c r="J1365" t="str">
        <f t="shared" si="411"/>
        <v>00</v>
      </c>
      <c r="K1365">
        <v>20150408</v>
      </c>
      <c r="L1365" t="str">
        <f>"014900"</f>
        <v>014900</v>
      </c>
      <c r="M1365" t="str">
        <f>"00843"</f>
        <v>00843</v>
      </c>
      <c r="N1365" t="s">
        <v>803</v>
      </c>
      <c r="O1365">
        <v>67</v>
      </c>
      <c r="Q1365" t="s">
        <v>33</v>
      </c>
      <c r="R1365" t="s">
        <v>34</v>
      </c>
      <c r="S1365" t="s">
        <v>35</v>
      </c>
      <c r="T1365" t="s">
        <v>35</v>
      </c>
      <c r="U1365" t="s">
        <v>34</v>
      </c>
      <c r="V1365" t="str">
        <f>""</f>
        <v/>
      </c>
      <c r="W1365">
        <v>20150407</v>
      </c>
      <c r="X1365" t="s">
        <v>186</v>
      </c>
      <c r="Y1365" t="s">
        <v>793</v>
      </c>
      <c r="Z1365" t="s">
        <v>793</v>
      </c>
      <c r="AA1365">
        <v>0</v>
      </c>
      <c r="AB1365" t="s">
        <v>142</v>
      </c>
      <c r="AC1365" t="s">
        <v>143</v>
      </c>
      <c r="AD1365" t="s">
        <v>40</v>
      </c>
      <c r="AE1365" t="str">
        <f t="shared" si="405"/>
        <v>04</v>
      </c>
      <c r="AF1365" t="s">
        <v>40</v>
      </c>
    </row>
    <row r="1366" spans="1:32" x14ac:dyDescent="0.25">
      <c r="A1366">
        <v>5</v>
      </c>
      <c r="B1366">
        <v>420</v>
      </c>
      <c r="C1366" t="str">
        <f>"36"</f>
        <v>36</v>
      </c>
      <c r="D1366">
        <v>6219</v>
      </c>
      <c r="E1366" t="str">
        <f t="shared" si="402"/>
        <v>00</v>
      </c>
      <c r="F1366" t="str">
        <f t="shared" si="412"/>
        <v>999</v>
      </c>
      <c r="G1366">
        <v>5</v>
      </c>
      <c r="H1366" t="str">
        <f>"91"</f>
        <v>91</v>
      </c>
      <c r="I1366" t="str">
        <f t="shared" si="404"/>
        <v>0</v>
      </c>
      <c r="J1366" t="str">
        <f t="shared" si="411"/>
        <v>00</v>
      </c>
      <c r="K1366">
        <v>20150408</v>
      </c>
      <c r="L1366" t="str">
        <f>"014900"</f>
        <v>014900</v>
      </c>
      <c r="M1366" t="str">
        <f>"00843"</f>
        <v>00843</v>
      </c>
      <c r="N1366" t="s">
        <v>803</v>
      </c>
      <c r="O1366">
        <v>67</v>
      </c>
      <c r="Q1366" t="s">
        <v>33</v>
      </c>
      <c r="R1366" t="s">
        <v>34</v>
      </c>
      <c r="S1366" t="s">
        <v>35</v>
      </c>
      <c r="T1366" t="s">
        <v>35</v>
      </c>
      <c r="U1366" t="s">
        <v>34</v>
      </c>
      <c r="V1366" t="str">
        <f>""</f>
        <v/>
      </c>
      <c r="W1366">
        <v>20150407</v>
      </c>
      <c r="X1366" t="s">
        <v>186</v>
      </c>
      <c r="Y1366" t="s">
        <v>793</v>
      </c>
      <c r="Z1366" t="s">
        <v>793</v>
      </c>
      <c r="AA1366">
        <v>0</v>
      </c>
      <c r="AB1366" t="s">
        <v>142</v>
      </c>
      <c r="AC1366" t="s">
        <v>143</v>
      </c>
      <c r="AD1366" t="s">
        <v>40</v>
      </c>
      <c r="AE1366" t="str">
        <f t="shared" si="405"/>
        <v>04</v>
      </c>
      <c r="AF1366" t="s">
        <v>40</v>
      </c>
    </row>
    <row r="1367" spans="1:32" x14ac:dyDescent="0.25">
      <c r="A1367">
        <v>5</v>
      </c>
      <c r="B1367">
        <v>420</v>
      </c>
      <c r="C1367" t="str">
        <f>"11"</f>
        <v>11</v>
      </c>
      <c r="D1367">
        <v>6269</v>
      </c>
      <c r="E1367" t="str">
        <f t="shared" si="402"/>
        <v>00</v>
      </c>
      <c r="F1367" t="str">
        <f t="shared" si="412"/>
        <v>999</v>
      </c>
      <c r="G1367">
        <v>5</v>
      </c>
      <c r="H1367" t="str">
        <f>"11"</f>
        <v>11</v>
      </c>
      <c r="I1367" t="str">
        <f t="shared" si="404"/>
        <v>0</v>
      </c>
      <c r="J1367" t="str">
        <f t="shared" si="411"/>
        <v>00</v>
      </c>
      <c r="K1367">
        <v>20150408</v>
      </c>
      <c r="L1367" t="str">
        <f>"014901"</f>
        <v>014901</v>
      </c>
      <c r="M1367" t="str">
        <f>"00622"</f>
        <v>00622</v>
      </c>
      <c r="N1367" t="s">
        <v>318</v>
      </c>
      <c r="O1367">
        <v>182.83</v>
      </c>
      <c r="Q1367" t="s">
        <v>33</v>
      </c>
      <c r="R1367" t="s">
        <v>34</v>
      </c>
      <c r="S1367" t="s">
        <v>35</v>
      </c>
      <c r="T1367" t="s">
        <v>35</v>
      </c>
      <c r="U1367" t="s">
        <v>34</v>
      </c>
      <c r="V1367" t="str">
        <f>""</f>
        <v/>
      </c>
      <c r="W1367">
        <v>20150407</v>
      </c>
      <c r="X1367" t="s">
        <v>213</v>
      </c>
      <c r="Y1367" t="s">
        <v>319</v>
      </c>
      <c r="Z1367" t="s">
        <v>319</v>
      </c>
      <c r="AA1367">
        <v>0</v>
      </c>
      <c r="AB1367" t="s">
        <v>142</v>
      </c>
      <c r="AC1367" t="s">
        <v>143</v>
      </c>
      <c r="AD1367" t="s">
        <v>40</v>
      </c>
      <c r="AE1367" t="str">
        <f t="shared" si="405"/>
        <v>04</v>
      </c>
      <c r="AF1367" t="s">
        <v>40</v>
      </c>
    </row>
    <row r="1368" spans="1:32" x14ac:dyDescent="0.25">
      <c r="A1368">
        <v>5</v>
      </c>
      <c r="B1368">
        <v>420</v>
      </c>
      <c r="C1368" t="str">
        <f>"36"</f>
        <v>36</v>
      </c>
      <c r="D1368">
        <v>6219</v>
      </c>
      <c r="E1368" t="str">
        <f t="shared" si="402"/>
        <v>00</v>
      </c>
      <c r="F1368" t="str">
        <f t="shared" si="412"/>
        <v>999</v>
      </c>
      <c r="G1368">
        <v>5</v>
      </c>
      <c r="H1368" t="str">
        <f>"91"</f>
        <v>91</v>
      </c>
      <c r="I1368" t="str">
        <f t="shared" si="404"/>
        <v>0</v>
      </c>
      <c r="J1368" t="str">
        <f t="shared" si="411"/>
        <v>00</v>
      </c>
      <c r="K1368">
        <v>20150408</v>
      </c>
      <c r="L1368" t="str">
        <f>"014902"</f>
        <v>014902</v>
      </c>
      <c r="M1368" t="str">
        <f>"00842"</f>
        <v>00842</v>
      </c>
      <c r="N1368" t="s">
        <v>804</v>
      </c>
      <c r="O1368">
        <v>60</v>
      </c>
      <c r="Q1368" t="s">
        <v>33</v>
      </c>
      <c r="R1368" t="s">
        <v>34</v>
      </c>
      <c r="S1368" t="s">
        <v>35</v>
      </c>
      <c r="T1368" t="s">
        <v>35</v>
      </c>
      <c r="U1368" t="s">
        <v>34</v>
      </c>
      <c r="V1368" t="str">
        <f>""</f>
        <v/>
      </c>
      <c r="W1368">
        <v>20150407</v>
      </c>
      <c r="X1368" t="s">
        <v>186</v>
      </c>
      <c r="Y1368" t="s">
        <v>805</v>
      </c>
      <c r="Z1368" t="s">
        <v>805</v>
      </c>
      <c r="AA1368">
        <v>0</v>
      </c>
      <c r="AB1368" t="s">
        <v>142</v>
      </c>
      <c r="AC1368" t="s">
        <v>143</v>
      </c>
      <c r="AD1368" t="s">
        <v>40</v>
      </c>
      <c r="AE1368" t="str">
        <f t="shared" si="405"/>
        <v>04</v>
      </c>
      <c r="AF1368" t="s">
        <v>40</v>
      </c>
    </row>
    <row r="1369" spans="1:32" x14ac:dyDescent="0.25">
      <c r="A1369">
        <v>5</v>
      </c>
      <c r="B1369">
        <v>420</v>
      </c>
      <c r="C1369" t="str">
        <f>"51"</f>
        <v>51</v>
      </c>
      <c r="D1369">
        <v>6259</v>
      </c>
      <c r="E1369" t="str">
        <f>"50"</f>
        <v>50</v>
      </c>
      <c r="F1369" t="str">
        <f t="shared" si="412"/>
        <v>999</v>
      </c>
      <c r="G1369">
        <v>5</v>
      </c>
      <c r="H1369" t="str">
        <f>"99"</f>
        <v>99</v>
      </c>
      <c r="I1369" t="str">
        <f t="shared" si="404"/>
        <v>0</v>
      </c>
      <c r="J1369" t="str">
        <f t="shared" si="411"/>
        <v>00</v>
      </c>
      <c r="K1369">
        <v>20150408</v>
      </c>
      <c r="L1369" t="str">
        <f>"014903"</f>
        <v>014903</v>
      </c>
      <c r="M1369" t="str">
        <f>"00162"</f>
        <v>00162</v>
      </c>
      <c r="N1369" t="s">
        <v>242</v>
      </c>
      <c r="O1369">
        <v>690.14</v>
      </c>
      <c r="Q1369" t="s">
        <v>33</v>
      </c>
      <c r="R1369" t="s">
        <v>34</v>
      </c>
      <c r="S1369" t="s">
        <v>35</v>
      </c>
      <c r="T1369" t="s">
        <v>35</v>
      </c>
      <c r="U1369" t="s">
        <v>34</v>
      </c>
      <c r="V1369" t="str">
        <f>""</f>
        <v/>
      </c>
      <c r="W1369">
        <v>20150407</v>
      </c>
      <c r="X1369" t="s">
        <v>374</v>
      </c>
      <c r="Y1369" t="s">
        <v>375</v>
      </c>
      <c r="Z1369" t="s">
        <v>375</v>
      </c>
      <c r="AA1369">
        <v>0</v>
      </c>
      <c r="AB1369" t="s">
        <v>142</v>
      </c>
      <c r="AC1369" t="s">
        <v>143</v>
      </c>
      <c r="AD1369" t="s">
        <v>40</v>
      </c>
      <c r="AE1369" t="str">
        <f t="shared" si="405"/>
        <v>04</v>
      </c>
      <c r="AF1369" t="s">
        <v>40</v>
      </c>
    </row>
    <row r="1370" spans="1:32" x14ac:dyDescent="0.25">
      <c r="A1370">
        <v>5</v>
      </c>
      <c r="B1370">
        <v>420</v>
      </c>
      <c r="C1370" t="str">
        <f>"36"</f>
        <v>36</v>
      </c>
      <c r="D1370">
        <v>6219</v>
      </c>
      <c r="E1370" t="str">
        <f t="shared" ref="E1370:E1387" si="413">"00"</f>
        <v>00</v>
      </c>
      <c r="F1370" t="str">
        <f t="shared" si="412"/>
        <v>999</v>
      </c>
      <c r="G1370">
        <v>5</v>
      </c>
      <c r="H1370" t="str">
        <f>"91"</f>
        <v>91</v>
      </c>
      <c r="I1370" t="str">
        <f t="shared" si="404"/>
        <v>0</v>
      </c>
      <c r="J1370" t="str">
        <f t="shared" si="411"/>
        <v>00</v>
      </c>
      <c r="K1370">
        <v>20150408</v>
      </c>
      <c r="L1370" t="str">
        <f>"014904"</f>
        <v>014904</v>
      </c>
      <c r="M1370" t="str">
        <f>"00470"</f>
        <v>00470</v>
      </c>
      <c r="N1370" t="s">
        <v>806</v>
      </c>
      <c r="O1370">
        <v>67</v>
      </c>
      <c r="Q1370" t="s">
        <v>33</v>
      </c>
      <c r="R1370" t="s">
        <v>34</v>
      </c>
      <c r="S1370" t="s">
        <v>35</v>
      </c>
      <c r="T1370" t="s">
        <v>35</v>
      </c>
      <c r="U1370" t="s">
        <v>34</v>
      </c>
      <c r="V1370" t="str">
        <f>""</f>
        <v/>
      </c>
      <c r="W1370">
        <v>20150407</v>
      </c>
      <c r="X1370" t="s">
        <v>186</v>
      </c>
      <c r="Y1370" t="s">
        <v>793</v>
      </c>
      <c r="Z1370" t="s">
        <v>793</v>
      </c>
      <c r="AA1370">
        <v>0</v>
      </c>
      <c r="AB1370" t="s">
        <v>142</v>
      </c>
      <c r="AC1370" t="s">
        <v>143</v>
      </c>
      <c r="AD1370" t="s">
        <v>40</v>
      </c>
      <c r="AE1370" t="str">
        <f t="shared" si="405"/>
        <v>04</v>
      </c>
      <c r="AF1370" t="s">
        <v>40</v>
      </c>
    </row>
    <row r="1371" spans="1:32" x14ac:dyDescent="0.25">
      <c r="A1371">
        <v>5</v>
      </c>
      <c r="B1371">
        <v>420</v>
      </c>
      <c r="C1371" t="str">
        <f>"34"</f>
        <v>34</v>
      </c>
      <c r="D1371">
        <v>6249</v>
      </c>
      <c r="E1371" t="str">
        <f t="shared" si="413"/>
        <v>00</v>
      </c>
      <c r="F1371" t="str">
        <f t="shared" si="412"/>
        <v>999</v>
      </c>
      <c r="G1371">
        <v>5</v>
      </c>
      <c r="H1371" t="str">
        <f t="shared" ref="H1371:H1383" si="414">"99"</f>
        <v>99</v>
      </c>
      <c r="I1371" t="str">
        <f t="shared" si="404"/>
        <v>0</v>
      </c>
      <c r="J1371" t="str">
        <f t="shared" si="411"/>
        <v>00</v>
      </c>
      <c r="K1371">
        <v>20150408</v>
      </c>
      <c r="L1371" t="str">
        <f>"014906"</f>
        <v>014906</v>
      </c>
      <c r="M1371" t="str">
        <f>"00554"</f>
        <v>00554</v>
      </c>
      <c r="N1371" t="s">
        <v>483</v>
      </c>
      <c r="O1371">
        <v>40</v>
      </c>
      <c r="Q1371" t="s">
        <v>33</v>
      </c>
      <c r="R1371" t="s">
        <v>34</v>
      </c>
      <c r="S1371" t="s">
        <v>35</v>
      </c>
      <c r="T1371" t="s">
        <v>35</v>
      </c>
      <c r="U1371" t="s">
        <v>34</v>
      </c>
      <c r="V1371" t="str">
        <f>""</f>
        <v/>
      </c>
      <c r="W1371">
        <v>20150407</v>
      </c>
      <c r="X1371" t="s">
        <v>484</v>
      </c>
      <c r="Y1371" t="s">
        <v>807</v>
      </c>
      <c r="Z1371" t="s">
        <v>807</v>
      </c>
      <c r="AA1371">
        <v>0</v>
      </c>
      <c r="AB1371" t="s">
        <v>142</v>
      </c>
      <c r="AC1371" t="s">
        <v>143</v>
      </c>
      <c r="AD1371" t="s">
        <v>40</v>
      </c>
      <c r="AE1371" t="str">
        <f t="shared" si="405"/>
        <v>04</v>
      </c>
      <c r="AF1371" t="s">
        <v>40</v>
      </c>
    </row>
    <row r="1372" spans="1:32" x14ac:dyDescent="0.25">
      <c r="A1372">
        <v>5</v>
      </c>
      <c r="B1372">
        <v>240</v>
      </c>
      <c r="C1372" t="str">
        <f t="shared" ref="C1372:C1378" si="415">"35"</f>
        <v>35</v>
      </c>
      <c r="D1372">
        <v>6341</v>
      </c>
      <c r="E1372" t="str">
        <f t="shared" si="413"/>
        <v>00</v>
      </c>
      <c r="F1372" t="str">
        <f t="shared" si="412"/>
        <v>999</v>
      </c>
      <c r="G1372">
        <v>5</v>
      </c>
      <c r="H1372" t="str">
        <f t="shared" si="414"/>
        <v>99</v>
      </c>
      <c r="I1372" t="str">
        <f t="shared" si="404"/>
        <v>0</v>
      </c>
      <c r="J1372" t="str">
        <f t="shared" si="411"/>
        <v>00</v>
      </c>
      <c r="K1372">
        <v>20150408</v>
      </c>
      <c r="L1372" t="str">
        <f t="shared" ref="L1372:L1379" si="416">"014907"</f>
        <v>014907</v>
      </c>
      <c r="M1372" t="str">
        <f t="shared" ref="M1372:M1379" si="417">"00391"</f>
        <v>00391</v>
      </c>
      <c r="N1372" t="s">
        <v>265</v>
      </c>
      <c r="O1372" s="1">
        <v>1708.69</v>
      </c>
      <c r="Q1372" t="s">
        <v>33</v>
      </c>
      <c r="R1372" t="s">
        <v>34</v>
      </c>
      <c r="S1372" t="s">
        <v>35</v>
      </c>
      <c r="T1372" t="s">
        <v>35</v>
      </c>
      <c r="U1372" t="s">
        <v>34</v>
      </c>
      <c r="V1372" t="str">
        <f>""</f>
        <v/>
      </c>
      <c r="W1372">
        <v>20150407</v>
      </c>
      <c r="X1372" t="s">
        <v>268</v>
      </c>
      <c r="Y1372" t="s">
        <v>266</v>
      </c>
      <c r="Z1372" t="s">
        <v>266</v>
      </c>
      <c r="AA1372">
        <v>0</v>
      </c>
      <c r="AB1372" t="s">
        <v>238</v>
      </c>
      <c r="AC1372" t="s">
        <v>143</v>
      </c>
      <c r="AD1372" t="s">
        <v>40</v>
      </c>
      <c r="AE1372" t="str">
        <f t="shared" si="405"/>
        <v>04</v>
      </c>
      <c r="AF1372" t="s">
        <v>40</v>
      </c>
    </row>
    <row r="1373" spans="1:32" x14ac:dyDescent="0.25">
      <c r="A1373">
        <v>5</v>
      </c>
      <c r="B1373">
        <v>240</v>
      </c>
      <c r="C1373" t="str">
        <f t="shared" si="415"/>
        <v>35</v>
      </c>
      <c r="D1373">
        <v>6341</v>
      </c>
      <c r="E1373" t="str">
        <f t="shared" si="413"/>
        <v>00</v>
      </c>
      <c r="F1373" t="str">
        <f t="shared" si="412"/>
        <v>999</v>
      </c>
      <c r="G1373">
        <v>5</v>
      </c>
      <c r="H1373" t="str">
        <f t="shared" si="414"/>
        <v>99</v>
      </c>
      <c r="I1373" t="str">
        <f t="shared" si="404"/>
        <v>0</v>
      </c>
      <c r="J1373" t="str">
        <f t="shared" si="411"/>
        <v>00</v>
      </c>
      <c r="K1373">
        <v>20150408</v>
      </c>
      <c r="L1373" t="str">
        <f t="shared" si="416"/>
        <v>014907</v>
      </c>
      <c r="M1373" t="str">
        <f t="shared" si="417"/>
        <v>00391</v>
      </c>
      <c r="N1373" t="s">
        <v>265</v>
      </c>
      <c r="O1373">
        <v>329.19</v>
      </c>
      <c r="Q1373" t="s">
        <v>33</v>
      </c>
      <c r="R1373" t="s">
        <v>34</v>
      </c>
      <c r="S1373" t="s">
        <v>35</v>
      </c>
      <c r="T1373" t="s">
        <v>35</v>
      </c>
      <c r="U1373" t="s">
        <v>34</v>
      </c>
      <c r="V1373" t="str">
        <f>""</f>
        <v/>
      </c>
      <c r="W1373">
        <v>20150407</v>
      </c>
      <c r="X1373" t="s">
        <v>268</v>
      </c>
      <c r="Y1373" t="s">
        <v>266</v>
      </c>
      <c r="Z1373" t="s">
        <v>266</v>
      </c>
      <c r="AA1373">
        <v>0</v>
      </c>
      <c r="AB1373" t="s">
        <v>238</v>
      </c>
      <c r="AC1373" t="s">
        <v>143</v>
      </c>
      <c r="AD1373" t="s">
        <v>40</v>
      </c>
      <c r="AE1373" t="str">
        <f t="shared" si="405"/>
        <v>04</v>
      </c>
      <c r="AF1373" t="s">
        <v>40</v>
      </c>
    </row>
    <row r="1374" spans="1:32" x14ac:dyDescent="0.25">
      <c r="A1374">
        <v>5</v>
      </c>
      <c r="B1374">
        <v>240</v>
      </c>
      <c r="C1374" t="str">
        <f t="shared" si="415"/>
        <v>35</v>
      </c>
      <c r="D1374">
        <v>6341</v>
      </c>
      <c r="E1374" t="str">
        <f t="shared" si="413"/>
        <v>00</v>
      </c>
      <c r="F1374" t="str">
        <f t="shared" si="412"/>
        <v>999</v>
      </c>
      <c r="G1374">
        <v>5</v>
      </c>
      <c r="H1374" t="str">
        <f t="shared" si="414"/>
        <v>99</v>
      </c>
      <c r="I1374" t="str">
        <f t="shared" si="404"/>
        <v>0</v>
      </c>
      <c r="J1374" t="str">
        <f t="shared" si="411"/>
        <v>00</v>
      </c>
      <c r="K1374">
        <v>20150408</v>
      </c>
      <c r="L1374" t="str">
        <f t="shared" si="416"/>
        <v>014907</v>
      </c>
      <c r="M1374" t="str">
        <f t="shared" si="417"/>
        <v>00391</v>
      </c>
      <c r="N1374" t="s">
        <v>265</v>
      </c>
      <c r="O1374">
        <v>127.3</v>
      </c>
      <c r="Q1374" t="s">
        <v>33</v>
      </c>
      <c r="R1374" t="s">
        <v>34</v>
      </c>
      <c r="S1374" t="s">
        <v>35</v>
      </c>
      <c r="T1374" t="s">
        <v>35</v>
      </c>
      <c r="U1374" t="s">
        <v>34</v>
      </c>
      <c r="V1374" t="str">
        <f>""</f>
        <v/>
      </c>
      <c r="W1374">
        <v>20150407</v>
      </c>
      <c r="X1374" t="s">
        <v>268</v>
      </c>
      <c r="Y1374" t="s">
        <v>266</v>
      </c>
      <c r="Z1374" t="s">
        <v>266</v>
      </c>
      <c r="AA1374">
        <v>0</v>
      </c>
      <c r="AB1374" t="s">
        <v>238</v>
      </c>
      <c r="AC1374" t="s">
        <v>143</v>
      </c>
      <c r="AD1374" t="s">
        <v>40</v>
      </c>
      <c r="AE1374" t="str">
        <f t="shared" si="405"/>
        <v>04</v>
      </c>
      <c r="AF1374" t="s">
        <v>40</v>
      </c>
    </row>
    <row r="1375" spans="1:32" x14ac:dyDescent="0.25">
      <c r="A1375">
        <v>5</v>
      </c>
      <c r="B1375">
        <v>240</v>
      </c>
      <c r="C1375" t="str">
        <f t="shared" si="415"/>
        <v>35</v>
      </c>
      <c r="D1375">
        <v>6341</v>
      </c>
      <c r="E1375" t="str">
        <f t="shared" si="413"/>
        <v>00</v>
      </c>
      <c r="F1375" t="str">
        <f t="shared" si="412"/>
        <v>999</v>
      </c>
      <c r="G1375">
        <v>5</v>
      </c>
      <c r="H1375" t="str">
        <f t="shared" si="414"/>
        <v>99</v>
      </c>
      <c r="I1375" t="str">
        <f t="shared" si="404"/>
        <v>0</v>
      </c>
      <c r="J1375" t="str">
        <f t="shared" si="411"/>
        <v>00</v>
      </c>
      <c r="K1375">
        <v>20150408</v>
      </c>
      <c r="L1375" t="str">
        <f t="shared" si="416"/>
        <v>014907</v>
      </c>
      <c r="M1375" t="str">
        <f t="shared" si="417"/>
        <v>00391</v>
      </c>
      <c r="N1375" t="s">
        <v>265</v>
      </c>
      <c r="O1375">
        <v>123.89</v>
      </c>
      <c r="Q1375" t="s">
        <v>33</v>
      </c>
      <c r="R1375" t="s">
        <v>34</v>
      </c>
      <c r="S1375" t="s">
        <v>35</v>
      </c>
      <c r="T1375" t="s">
        <v>35</v>
      </c>
      <c r="U1375" t="s">
        <v>34</v>
      </c>
      <c r="V1375" t="str">
        <f>""</f>
        <v/>
      </c>
      <c r="W1375">
        <v>20150407</v>
      </c>
      <c r="X1375" t="s">
        <v>268</v>
      </c>
      <c r="Y1375" t="s">
        <v>266</v>
      </c>
      <c r="Z1375" t="s">
        <v>266</v>
      </c>
      <c r="AA1375">
        <v>0</v>
      </c>
      <c r="AB1375" t="s">
        <v>238</v>
      </c>
      <c r="AC1375" t="s">
        <v>143</v>
      </c>
      <c r="AD1375" t="s">
        <v>40</v>
      </c>
      <c r="AE1375" t="str">
        <f t="shared" si="405"/>
        <v>04</v>
      </c>
      <c r="AF1375" t="s">
        <v>40</v>
      </c>
    </row>
    <row r="1376" spans="1:32" x14ac:dyDescent="0.25">
      <c r="A1376">
        <v>5</v>
      </c>
      <c r="B1376">
        <v>240</v>
      </c>
      <c r="C1376" t="str">
        <f t="shared" si="415"/>
        <v>35</v>
      </c>
      <c r="D1376">
        <v>6342</v>
      </c>
      <c r="E1376" t="str">
        <f t="shared" si="413"/>
        <v>00</v>
      </c>
      <c r="F1376" t="str">
        <f t="shared" si="412"/>
        <v>999</v>
      </c>
      <c r="G1376">
        <v>5</v>
      </c>
      <c r="H1376" t="str">
        <f t="shared" si="414"/>
        <v>99</v>
      </c>
      <c r="I1376" t="str">
        <f t="shared" si="404"/>
        <v>0</v>
      </c>
      <c r="J1376" t="str">
        <f t="shared" si="411"/>
        <v>00</v>
      </c>
      <c r="K1376">
        <v>20150408</v>
      </c>
      <c r="L1376" t="str">
        <f t="shared" si="416"/>
        <v>014907</v>
      </c>
      <c r="M1376" t="str">
        <f t="shared" si="417"/>
        <v>00391</v>
      </c>
      <c r="N1376" t="s">
        <v>265</v>
      </c>
      <c r="O1376">
        <v>472.18</v>
      </c>
      <c r="Q1376" t="s">
        <v>33</v>
      </c>
      <c r="R1376" t="s">
        <v>34</v>
      </c>
      <c r="S1376" t="s">
        <v>35</v>
      </c>
      <c r="T1376" t="s">
        <v>35</v>
      </c>
      <c r="U1376" t="s">
        <v>34</v>
      </c>
      <c r="V1376" t="str">
        <f>""</f>
        <v/>
      </c>
      <c r="W1376">
        <v>20150407</v>
      </c>
      <c r="X1376" t="s">
        <v>269</v>
      </c>
      <c r="Y1376" t="s">
        <v>266</v>
      </c>
      <c r="Z1376" t="s">
        <v>266</v>
      </c>
      <c r="AA1376">
        <v>0</v>
      </c>
      <c r="AB1376" t="s">
        <v>238</v>
      </c>
      <c r="AC1376" t="s">
        <v>143</v>
      </c>
      <c r="AD1376" t="s">
        <v>40</v>
      </c>
      <c r="AE1376" t="str">
        <f t="shared" si="405"/>
        <v>04</v>
      </c>
      <c r="AF1376" t="s">
        <v>40</v>
      </c>
    </row>
    <row r="1377" spans="1:32" x14ac:dyDescent="0.25">
      <c r="A1377">
        <v>5</v>
      </c>
      <c r="B1377">
        <v>240</v>
      </c>
      <c r="C1377" t="str">
        <f t="shared" si="415"/>
        <v>35</v>
      </c>
      <c r="D1377">
        <v>6342</v>
      </c>
      <c r="E1377" t="str">
        <f t="shared" si="413"/>
        <v>00</v>
      </c>
      <c r="F1377" t="str">
        <f t="shared" si="412"/>
        <v>999</v>
      </c>
      <c r="G1377">
        <v>5</v>
      </c>
      <c r="H1377" t="str">
        <f t="shared" si="414"/>
        <v>99</v>
      </c>
      <c r="I1377" t="str">
        <f t="shared" si="404"/>
        <v>0</v>
      </c>
      <c r="J1377" t="str">
        <f t="shared" si="411"/>
        <v>00</v>
      </c>
      <c r="K1377">
        <v>20150408</v>
      </c>
      <c r="L1377" t="str">
        <f t="shared" si="416"/>
        <v>014907</v>
      </c>
      <c r="M1377" t="str">
        <f t="shared" si="417"/>
        <v>00391</v>
      </c>
      <c r="N1377" t="s">
        <v>265</v>
      </c>
      <c r="O1377">
        <v>83.18</v>
      </c>
      <c r="Q1377" t="s">
        <v>33</v>
      </c>
      <c r="R1377" t="s">
        <v>34</v>
      </c>
      <c r="S1377" t="s">
        <v>35</v>
      </c>
      <c r="T1377" t="s">
        <v>35</v>
      </c>
      <c r="U1377" t="s">
        <v>34</v>
      </c>
      <c r="V1377" t="str">
        <f>""</f>
        <v/>
      </c>
      <c r="W1377">
        <v>20150407</v>
      </c>
      <c r="X1377" t="s">
        <v>269</v>
      </c>
      <c r="Y1377" t="s">
        <v>266</v>
      </c>
      <c r="Z1377" t="s">
        <v>266</v>
      </c>
      <c r="AA1377">
        <v>0</v>
      </c>
      <c r="AB1377" t="s">
        <v>238</v>
      </c>
      <c r="AC1377" t="s">
        <v>143</v>
      </c>
      <c r="AD1377" t="s">
        <v>40</v>
      </c>
      <c r="AE1377" t="str">
        <f t="shared" si="405"/>
        <v>04</v>
      </c>
      <c r="AF1377" t="s">
        <v>40</v>
      </c>
    </row>
    <row r="1378" spans="1:32" x14ac:dyDescent="0.25">
      <c r="A1378">
        <v>5</v>
      </c>
      <c r="B1378">
        <v>240</v>
      </c>
      <c r="C1378" t="str">
        <f t="shared" si="415"/>
        <v>35</v>
      </c>
      <c r="D1378">
        <v>6342</v>
      </c>
      <c r="E1378" t="str">
        <f t="shared" si="413"/>
        <v>00</v>
      </c>
      <c r="F1378" t="str">
        <f t="shared" si="412"/>
        <v>999</v>
      </c>
      <c r="G1378">
        <v>5</v>
      </c>
      <c r="H1378" t="str">
        <f t="shared" si="414"/>
        <v>99</v>
      </c>
      <c r="I1378" t="str">
        <f t="shared" si="404"/>
        <v>0</v>
      </c>
      <c r="J1378" t="str">
        <f t="shared" si="411"/>
        <v>00</v>
      </c>
      <c r="K1378">
        <v>20150408</v>
      </c>
      <c r="L1378" t="str">
        <f t="shared" si="416"/>
        <v>014907</v>
      </c>
      <c r="M1378" t="str">
        <f t="shared" si="417"/>
        <v>00391</v>
      </c>
      <c r="N1378" t="s">
        <v>265</v>
      </c>
      <c r="O1378">
        <v>58.34</v>
      </c>
      <c r="Q1378" t="s">
        <v>33</v>
      </c>
      <c r="R1378" t="s">
        <v>34</v>
      </c>
      <c r="S1378" t="s">
        <v>35</v>
      </c>
      <c r="T1378" t="s">
        <v>35</v>
      </c>
      <c r="U1378" t="s">
        <v>34</v>
      </c>
      <c r="V1378" t="str">
        <f>""</f>
        <v/>
      </c>
      <c r="W1378">
        <v>20150407</v>
      </c>
      <c r="X1378" t="s">
        <v>269</v>
      </c>
      <c r="Y1378" t="s">
        <v>266</v>
      </c>
      <c r="Z1378" t="s">
        <v>266</v>
      </c>
      <c r="AA1378">
        <v>0</v>
      </c>
      <c r="AB1378" t="s">
        <v>238</v>
      </c>
      <c r="AC1378" t="s">
        <v>143</v>
      </c>
      <c r="AD1378" t="s">
        <v>40</v>
      </c>
      <c r="AE1378" t="str">
        <f t="shared" ref="AE1378:AE1409" si="418">"04"</f>
        <v>04</v>
      </c>
      <c r="AF1378" t="s">
        <v>40</v>
      </c>
    </row>
    <row r="1379" spans="1:32" x14ac:dyDescent="0.25">
      <c r="A1379">
        <v>5</v>
      </c>
      <c r="B1379">
        <v>240</v>
      </c>
      <c r="C1379" t="str">
        <f>"51"</f>
        <v>51</v>
      </c>
      <c r="D1379">
        <v>6319</v>
      </c>
      <c r="E1379" t="str">
        <f t="shared" si="413"/>
        <v>00</v>
      </c>
      <c r="F1379" t="str">
        <f t="shared" si="412"/>
        <v>999</v>
      </c>
      <c r="G1379">
        <v>5</v>
      </c>
      <c r="H1379" t="str">
        <f t="shared" si="414"/>
        <v>99</v>
      </c>
      <c r="I1379" t="str">
        <f t="shared" si="404"/>
        <v>0</v>
      </c>
      <c r="J1379" t="str">
        <f t="shared" si="411"/>
        <v>00</v>
      </c>
      <c r="K1379">
        <v>20150408</v>
      </c>
      <c r="L1379" t="str">
        <f t="shared" si="416"/>
        <v>014907</v>
      </c>
      <c r="M1379" t="str">
        <f t="shared" si="417"/>
        <v>00391</v>
      </c>
      <c r="N1379" t="s">
        <v>265</v>
      </c>
      <c r="O1379">
        <v>75.84</v>
      </c>
      <c r="Q1379" t="s">
        <v>33</v>
      </c>
      <c r="R1379" t="s">
        <v>34</v>
      </c>
      <c r="S1379" t="s">
        <v>35</v>
      </c>
      <c r="T1379" t="s">
        <v>35</v>
      </c>
      <c r="U1379" t="s">
        <v>34</v>
      </c>
      <c r="V1379" t="str">
        <f>""</f>
        <v/>
      </c>
      <c r="W1379">
        <v>20150407</v>
      </c>
      <c r="X1379" t="s">
        <v>350</v>
      </c>
      <c r="Y1379" t="s">
        <v>266</v>
      </c>
      <c r="Z1379" t="s">
        <v>266</v>
      </c>
      <c r="AA1379">
        <v>0</v>
      </c>
      <c r="AB1379" t="s">
        <v>238</v>
      </c>
      <c r="AC1379" t="s">
        <v>143</v>
      </c>
      <c r="AD1379" t="s">
        <v>40</v>
      </c>
      <c r="AE1379" t="str">
        <f t="shared" si="418"/>
        <v>04</v>
      </c>
      <c r="AF1379" t="s">
        <v>40</v>
      </c>
    </row>
    <row r="1380" spans="1:32" x14ac:dyDescent="0.25">
      <c r="A1380">
        <v>5</v>
      </c>
      <c r="B1380">
        <v>240</v>
      </c>
      <c r="C1380" t="str">
        <f>"35"</f>
        <v>35</v>
      </c>
      <c r="D1380">
        <v>6299</v>
      </c>
      <c r="E1380" t="str">
        <f t="shared" si="413"/>
        <v>00</v>
      </c>
      <c r="F1380" t="str">
        <f t="shared" si="412"/>
        <v>999</v>
      </c>
      <c r="G1380">
        <v>5</v>
      </c>
      <c r="H1380" t="str">
        <f t="shared" si="414"/>
        <v>99</v>
      </c>
      <c r="I1380" t="str">
        <f t="shared" si="404"/>
        <v>0</v>
      </c>
      <c r="J1380" t="str">
        <f t="shared" si="411"/>
        <v>00</v>
      </c>
      <c r="K1380">
        <v>20150408</v>
      </c>
      <c r="L1380" t="str">
        <f>"014908"</f>
        <v>014908</v>
      </c>
      <c r="M1380" t="str">
        <f>"00577"</f>
        <v>00577</v>
      </c>
      <c r="N1380" t="s">
        <v>251</v>
      </c>
      <c r="O1380">
        <v>25.63</v>
      </c>
      <c r="Q1380" t="s">
        <v>33</v>
      </c>
      <c r="R1380" t="s">
        <v>34</v>
      </c>
      <c r="S1380" t="s">
        <v>35</v>
      </c>
      <c r="T1380" t="s">
        <v>35</v>
      </c>
      <c r="U1380" t="s">
        <v>34</v>
      </c>
      <c r="V1380" t="str">
        <f>""</f>
        <v/>
      </c>
      <c r="W1380">
        <v>20150407</v>
      </c>
      <c r="X1380" t="s">
        <v>252</v>
      </c>
      <c r="Y1380" t="s">
        <v>253</v>
      </c>
      <c r="Z1380" t="s">
        <v>253</v>
      </c>
      <c r="AA1380">
        <v>0</v>
      </c>
      <c r="AB1380" t="s">
        <v>238</v>
      </c>
      <c r="AC1380" t="s">
        <v>143</v>
      </c>
      <c r="AD1380" t="s">
        <v>40</v>
      </c>
      <c r="AE1380" t="str">
        <f t="shared" si="418"/>
        <v>04</v>
      </c>
      <c r="AF1380" t="s">
        <v>40</v>
      </c>
    </row>
    <row r="1381" spans="1:32" x14ac:dyDescent="0.25">
      <c r="A1381">
        <v>5</v>
      </c>
      <c r="B1381">
        <v>240</v>
      </c>
      <c r="C1381" t="str">
        <f>"35"</f>
        <v>35</v>
      </c>
      <c r="D1381">
        <v>6299</v>
      </c>
      <c r="E1381" t="str">
        <f t="shared" si="413"/>
        <v>00</v>
      </c>
      <c r="F1381" t="str">
        <f t="shared" si="412"/>
        <v>999</v>
      </c>
      <c r="G1381">
        <v>5</v>
      </c>
      <c r="H1381" t="str">
        <f t="shared" si="414"/>
        <v>99</v>
      </c>
      <c r="I1381" t="str">
        <f t="shared" si="404"/>
        <v>0</v>
      </c>
      <c r="J1381" t="str">
        <f t="shared" si="411"/>
        <v>00</v>
      </c>
      <c r="K1381">
        <v>20150408</v>
      </c>
      <c r="L1381" t="str">
        <f>"014908"</f>
        <v>014908</v>
      </c>
      <c r="M1381" t="str">
        <f>"00577"</f>
        <v>00577</v>
      </c>
      <c r="N1381" t="s">
        <v>251</v>
      </c>
      <c r="O1381">
        <v>25.63</v>
      </c>
      <c r="Q1381" t="s">
        <v>33</v>
      </c>
      <c r="R1381" t="s">
        <v>34</v>
      </c>
      <c r="S1381" t="s">
        <v>35</v>
      </c>
      <c r="T1381" t="s">
        <v>35</v>
      </c>
      <c r="U1381" t="s">
        <v>34</v>
      </c>
      <c r="V1381" t="str">
        <f>""</f>
        <v/>
      </c>
      <c r="W1381">
        <v>20150407</v>
      </c>
      <c r="X1381" t="s">
        <v>252</v>
      </c>
      <c r="Y1381" t="s">
        <v>253</v>
      </c>
      <c r="Z1381" t="s">
        <v>253</v>
      </c>
      <c r="AA1381">
        <v>0</v>
      </c>
      <c r="AB1381" t="s">
        <v>238</v>
      </c>
      <c r="AC1381" t="s">
        <v>143</v>
      </c>
      <c r="AD1381" t="s">
        <v>40</v>
      </c>
      <c r="AE1381" t="str">
        <f t="shared" si="418"/>
        <v>04</v>
      </c>
      <c r="AF1381" t="s">
        <v>40</v>
      </c>
    </row>
    <row r="1382" spans="1:32" x14ac:dyDescent="0.25">
      <c r="A1382">
        <v>5</v>
      </c>
      <c r="B1382">
        <v>420</v>
      </c>
      <c r="C1382" t="str">
        <f>"51"</f>
        <v>51</v>
      </c>
      <c r="D1382">
        <v>6299</v>
      </c>
      <c r="E1382" t="str">
        <f t="shared" si="413"/>
        <v>00</v>
      </c>
      <c r="F1382" t="str">
        <f t="shared" si="412"/>
        <v>999</v>
      </c>
      <c r="G1382">
        <v>5</v>
      </c>
      <c r="H1382" t="str">
        <f t="shared" si="414"/>
        <v>99</v>
      </c>
      <c r="I1382" t="str">
        <f t="shared" si="404"/>
        <v>0</v>
      </c>
      <c r="J1382" t="str">
        <f t="shared" si="411"/>
        <v>00</v>
      </c>
      <c r="K1382">
        <v>20150408</v>
      </c>
      <c r="L1382" t="str">
        <f>"014908"</f>
        <v>014908</v>
      </c>
      <c r="M1382" t="str">
        <f>"00577"</f>
        <v>00577</v>
      </c>
      <c r="N1382" t="s">
        <v>251</v>
      </c>
      <c r="O1382">
        <v>63.72</v>
      </c>
      <c r="Q1382" t="s">
        <v>33</v>
      </c>
      <c r="R1382" t="s">
        <v>34</v>
      </c>
      <c r="S1382" t="s">
        <v>35</v>
      </c>
      <c r="T1382" t="s">
        <v>35</v>
      </c>
      <c r="U1382" t="s">
        <v>34</v>
      </c>
      <c r="V1382" t="str">
        <f>""</f>
        <v/>
      </c>
      <c r="W1382">
        <v>20150407</v>
      </c>
      <c r="X1382" t="s">
        <v>203</v>
      </c>
      <c r="Y1382" t="s">
        <v>253</v>
      </c>
      <c r="Z1382" t="s">
        <v>253</v>
      </c>
      <c r="AA1382">
        <v>0</v>
      </c>
      <c r="AB1382" t="s">
        <v>142</v>
      </c>
      <c r="AC1382" t="s">
        <v>143</v>
      </c>
      <c r="AD1382" t="s">
        <v>40</v>
      </c>
      <c r="AE1382" t="str">
        <f t="shared" si="418"/>
        <v>04</v>
      </c>
      <c r="AF1382" t="s">
        <v>40</v>
      </c>
    </row>
    <row r="1383" spans="1:32" x14ac:dyDescent="0.25">
      <c r="A1383">
        <v>5</v>
      </c>
      <c r="B1383">
        <v>420</v>
      </c>
      <c r="C1383" t="str">
        <f>"51"</f>
        <v>51</v>
      </c>
      <c r="D1383">
        <v>6299</v>
      </c>
      <c r="E1383" t="str">
        <f t="shared" si="413"/>
        <v>00</v>
      </c>
      <c r="F1383" t="str">
        <f t="shared" si="412"/>
        <v>999</v>
      </c>
      <c r="G1383">
        <v>5</v>
      </c>
      <c r="H1383" t="str">
        <f t="shared" si="414"/>
        <v>99</v>
      </c>
      <c r="I1383" t="str">
        <f t="shared" si="404"/>
        <v>0</v>
      </c>
      <c r="J1383" t="str">
        <f t="shared" si="411"/>
        <v>00</v>
      </c>
      <c r="K1383">
        <v>20150408</v>
      </c>
      <c r="L1383" t="str">
        <f>"014908"</f>
        <v>014908</v>
      </c>
      <c r="M1383" t="str">
        <f>"00577"</f>
        <v>00577</v>
      </c>
      <c r="N1383" t="s">
        <v>251</v>
      </c>
      <c r="O1383">
        <v>63.72</v>
      </c>
      <c r="Q1383" t="s">
        <v>33</v>
      </c>
      <c r="R1383" t="s">
        <v>34</v>
      </c>
      <c r="S1383" t="s">
        <v>35</v>
      </c>
      <c r="T1383" t="s">
        <v>35</v>
      </c>
      <c r="U1383" t="s">
        <v>34</v>
      </c>
      <c r="V1383" t="str">
        <f>""</f>
        <v/>
      </c>
      <c r="W1383">
        <v>20150407</v>
      </c>
      <c r="X1383" t="s">
        <v>203</v>
      </c>
      <c r="Y1383" t="s">
        <v>253</v>
      </c>
      <c r="Z1383" t="s">
        <v>253</v>
      </c>
      <c r="AA1383">
        <v>0</v>
      </c>
      <c r="AB1383" t="s">
        <v>142</v>
      </c>
      <c r="AC1383" t="s">
        <v>143</v>
      </c>
      <c r="AD1383" t="s">
        <v>40</v>
      </c>
      <c r="AE1383" t="str">
        <f t="shared" si="418"/>
        <v>04</v>
      </c>
      <c r="AF1383" t="s">
        <v>40</v>
      </c>
    </row>
    <row r="1384" spans="1:32" x14ac:dyDescent="0.25">
      <c r="A1384">
        <v>5</v>
      </c>
      <c r="B1384">
        <v>420</v>
      </c>
      <c r="C1384" t="str">
        <f>"11"</f>
        <v>11</v>
      </c>
      <c r="D1384">
        <v>6399</v>
      </c>
      <c r="E1384" t="str">
        <f t="shared" si="413"/>
        <v>00</v>
      </c>
      <c r="F1384" t="str">
        <f>"001"</f>
        <v>001</v>
      </c>
      <c r="G1384">
        <v>5</v>
      </c>
      <c r="H1384" t="str">
        <f>"11"</f>
        <v>11</v>
      </c>
      <c r="I1384" t="str">
        <f t="shared" si="404"/>
        <v>0</v>
      </c>
      <c r="J1384" t="str">
        <f>"22"</f>
        <v>22</v>
      </c>
      <c r="K1384">
        <v>20150416</v>
      </c>
      <c r="L1384" t="str">
        <f>"014909"</f>
        <v>014909</v>
      </c>
      <c r="M1384" t="str">
        <f>"00628"</f>
        <v>00628</v>
      </c>
      <c r="N1384" t="s">
        <v>212</v>
      </c>
      <c r="O1384">
        <v>652.5</v>
      </c>
      <c r="Q1384" t="s">
        <v>33</v>
      </c>
      <c r="R1384" t="s">
        <v>34</v>
      </c>
      <c r="S1384" t="s">
        <v>35</v>
      </c>
      <c r="T1384" t="s">
        <v>35</v>
      </c>
      <c r="U1384" t="s">
        <v>34</v>
      </c>
      <c r="V1384" t="str">
        <f>""</f>
        <v/>
      </c>
      <c r="W1384">
        <v>20150415</v>
      </c>
      <c r="X1384" t="s">
        <v>507</v>
      </c>
      <c r="Y1384" t="s">
        <v>808</v>
      </c>
      <c r="Z1384" t="s">
        <v>808</v>
      </c>
      <c r="AA1384">
        <v>0</v>
      </c>
      <c r="AB1384" t="s">
        <v>142</v>
      </c>
      <c r="AC1384" t="s">
        <v>41</v>
      </c>
      <c r="AD1384" t="s">
        <v>40</v>
      </c>
      <c r="AE1384" t="str">
        <f t="shared" si="418"/>
        <v>04</v>
      </c>
      <c r="AF1384" t="s">
        <v>40</v>
      </c>
    </row>
    <row r="1385" spans="1:32" x14ac:dyDescent="0.25">
      <c r="A1385">
        <v>5</v>
      </c>
      <c r="B1385">
        <v>420</v>
      </c>
      <c r="C1385" t="str">
        <f>"11"</f>
        <v>11</v>
      </c>
      <c r="D1385">
        <v>6399</v>
      </c>
      <c r="E1385" t="str">
        <f t="shared" si="413"/>
        <v>00</v>
      </c>
      <c r="F1385" t="str">
        <f>"041"</f>
        <v>041</v>
      </c>
      <c r="G1385">
        <v>5</v>
      </c>
      <c r="H1385" t="str">
        <f>"11"</f>
        <v>11</v>
      </c>
      <c r="I1385" t="str">
        <f t="shared" si="404"/>
        <v>0</v>
      </c>
      <c r="J1385" t="str">
        <f>"22"</f>
        <v>22</v>
      </c>
      <c r="K1385">
        <v>20150416</v>
      </c>
      <c r="L1385" t="str">
        <f>"014909"</f>
        <v>014909</v>
      </c>
      <c r="M1385" t="str">
        <f>"00628"</f>
        <v>00628</v>
      </c>
      <c r="N1385" t="s">
        <v>212</v>
      </c>
      <c r="O1385">
        <v>652.5</v>
      </c>
      <c r="Q1385" t="s">
        <v>33</v>
      </c>
      <c r="R1385" t="s">
        <v>34</v>
      </c>
      <c r="S1385" t="s">
        <v>35</v>
      </c>
      <c r="T1385" t="s">
        <v>35</v>
      </c>
      <c r="U1385" t="s">
        <v>34</v>
      </c>
      <c r="V1385" t="str">
        <f>""</f>
        <v/>
      </c>
      <c r="W1385">
        <v>20150415</v>
      </c>
      <c r="X1385" t="s">
        <v>509</v>
      </c>
      <c r="Y1385" t="s">
        <v>808</v>
      </c>
      <c r="Z1385" t="s">
        <v>808</v>
      </c>
      <c r="AA1385">
        <v>0</v>
      </c>
      <c r="AB1385" t="s">
        <v>142</v>
      </c>
      <c r="AC1385" t="s">
        <v>41</v>
      </c>
      <c r="AD1385" t="s">
        <v>40</v>
      </c>
      <c r="AE1385" t="str">
        <f t="shared" si="418"/>
        <v>04</v>
      </c>
      <c r="AF1385" t="s">
        <v>40</v>
      </c>
    </row>
    <row r="1386" spans="1:32" x14ac:dyDescent="0.25">
      <c r="A1386">
        <v>5</v>
      </c>
      <c r="B1386">
        <v>420</v>
      </c>
      <c r="C1386" t="str">
        <f>"51"</f>
        <v>51</v>
      </c>
      <c r="D1386">
        <v>6319</v>
      </c>
      <c r="E1386" t="str">
        <f t="shared" si="413"/>
        <v>00</v>
      </c>
      <c r="F1386" t="str">
        <f>"999"</f>
        <v>999</v>
      </c>
      <c r="G1386">
        <v>5</v>
      </c>
      <c r="H1386" t="str">
        <f>"99"</f>
        <v>99</v>
      </c>
      <c r="I1386" t="str">
        <f t="shared" si="404"/>
        <v>0</v>
      </c>
      <c r="J1386" t="str">
        <f t="shared" ref="J1386:J1415" si="419">"00"</f>
        <v>00</v>
      </c>
      <c r="K1386">
        <v>20150416</v>
      </c>
      <c r="L1386" t="str">
        <f>"014910"</f>
        <v>014910</v>
      </c>
      <c r="M1386" t="str">
        <f>"00044"</f>
        <v>00044</v>
      </c>
      <c r="N1386" t="s">
        <v>644</v>
      </c>
      <c r="O1386">
        <v>306.17</v>
      </c>
      <c r="Q1386" t="s">
        <v>33</v>
      </c>
      <c r="R1386" t="s">
        <v>34</v>
      </c>
      <c r="S1386" t="s">
        <v>35</v>
      </c>
      <c r="T1386" t="s">
        <v>35</v>
      </c>
      <c r="U1386" t="s">
        <v>34</v>
      </c>
      <c r="V1386" t="str">
        <f>""</f>
        <v/>
      </c>
      <c r="W1386">
        <v>20150414</v>
      </c>
      <c r="X1386" t="s">
        <v>185</v>
      </c>
      <c r="Y1386" t="s">
        <v>809</v>
      </c>
      <c r="Z1386" t="s">
        <v>809</v>
      </c>
      <c r="AA1386">
        <v>0</v>
      </c>
      <c r="AB1386" t="s">
        <v>142</v>
      </c>
      <c r="AC1386" t="s">
        <v>143</v>
      </c>
      <c r="AD1386" t="s">
        <v>40</v>
      </c>
      <c r="AE1386" t="str">
        <f t="shared" si="418"/>
        <v>04</v>
      </c>
      <c r="AF1386" t="s">
        <v>40</v>
      </c>
    </row>
    <row r="1387" spans="1:32" x14ac:dyDescent="0.25">
      <c r="A1387">
        <v>5</v>
      </c>
      <c r="B1387">
        <v>211</v>
      </c>
      <c r="C1387" t="str">
        <f>"11"</f>
        <v>11</v>
      </c>
      <c r="D1387">
        <v>6219</v>
      </c>
      <c r="E1387" t="str">
        <f t="shared" si="413"/>
        <v>00</v>
      </c>
      <c r="F1387" t="str">
        <f>"101"</f>
        <v>101</v>
      </c>
      <c r="G1387">
        <v>5</v>
      </c>
      <c r="H1387" t="str">
        <f>"30"</f>
        <v>30</v>
      </c>
      <c r="I1387" t="str">
        <f t="shared" si="404"/>
        <v>0</v>
      </c>
      <c r="J1387" t="str">
        <f t="shared" si="419"/>
        <v>00</v>
      </c>
      <c r="K1387">
        <v>20150416</v>
      </c>
      <c r="L1387" t="str">
        <f>"014911"</f>
        <v>014911</v>
      </c>
      <c r="M1387" t="str">
        <f>"00803"</f>
        <v>00803</v>
      </c>
      <c r="N1387" t="s">
        <v>744</v>
      </c>
      <c r="O1387" s="1">
        <v>1409.25</v>
      </c>
      <c r="Q1387" t="s">
        <v>33</v>
      </c>
      <c r="R1387" t="s">
        <v>34</v>
      </c>
      <c r="S1387" t="s">
        <v>35</v>
      </c>
      <c r="T1387" t="s">
        <v>35</v>
      </c>
      <c r="U1387" t="s">
        <v>34</v>
      </c>
      <c r="V1387" t="str">
        <f>""</f>
        <v/>
      </c>
      <c r="W1387">
        <v>20150416</v>
      </c>
      <c r="X1387" t="s">
        <v>181</v>
      </c>
      <c r="Y1387" t="s">
        <v>141</v>
      </c>
      <c r="Z1387" t="s">
        <v>141</v>
      </c>
      <c r="AA1387">
        <v>0</v>
      </c>
      <c r="AB1387" t="s">
        <v>174</v>
      </c>
      <c r="AC1387" t="s">
        <v>41</v>
      </c>
      <c r="AD1387" t="s">
        <v>40</v>
      </c>
      <c r="AE1387" t="str">
        <f t="shared" si="418"/>
        <v>04</v>
      </c>
      <c r="AF1387" t="s">
        <v>40</v>
      </c>
    </row>
    <row r="1388" spans="1:32" x14ac:dyDescent="0.25">
      <c r="A1388">
        <v>5</v>
      </c>
      <c r="B1388">
        <v>420</v>
      </c>
      <c r="C1388" t="str">
        <f>"51"</f>
        <v>51</v>
      </c>
      <c r="D1388">
        <v>6259</v>
      </c>
      <c r="E1388" t="str">
        <f>"55"</f>
        <v>55</v>
      </c>
      <c r="F1388" t="str">
        <f>"999"</f>
        <v>999</v>
      </c>
      <c r="G1388">
        <v>5</v>
      </c>
      <c r="H1388" t="str">
        <f>"99"</f>
        <v>99</v>
      </c>
      <c r="I1388" t="str">
        <f t="shared" si="404"/>
        <v>0</v>
      </c>
      <c r="J1388" t="str">
        <f t="shared" si="419"/>
        <v>00</v>
      </c>
      <c r="K1388">
        <v>20150416</v>
      </c>
      <c r="L1388" t="str">
        <f>"014912"</f>
        <v>014912</v>
      </c>
      <c r="M1388" t="str">
        <f>"00075"</f>
        <v>00075</v>
      </c>
      <c r="N1388" t="s">
        <v>649</v>
      </c>
      <c r="O1388">
        <v>25.81</v>
      </c>
      <c r="Q1388" t="s">
        <v>33</v>
      </c>
      <c r="R1388" t="s">
        <v>34</v>
      </c>
      <c r="S1388" t="s">
        <v>35</v>
      </c>
      <c r="T1388" t="s">
        <v>35</v>
      </c>
      <c r="U1388" t="s">
        <v>34</v>
      </c>
      <c r="V1388" t="str">
        <f>""</f>
        <v/>
      </c>
      <c r="W1388">
        <v>20150415</v>
      </c>
      <c r="X1388" t="s">
        <v>243</v>
      </c>
      <c r="Y1388" t="s">
        <v>244</v>
      </c>
      <c r="Z1388" t="s">
        <v>244</v>
      </c>
      <c r="AA1388">
        <v>0</v>
      </c>
      <c r="AB1388" t="s">
        <v>142</v>
      </c>
      <c r="AC1388" t="s">
        <v>143</v>
      </c>
      <c r="AD1388" t="s">
        <v>40</v>
      </c>
      <c r="AE1388" t="str">
        <f t="shared" si="418"/>
        <v>04</v>
      </c>
      <c r="AF1388" t="s">
        <v>40</v>
      </c>
    </row>
    <row r="1389" spans="1:32" x14ac:dyDescent="0.25">
      <c r="A1389">
        <v>5</v>
      </c>
      <c r="B1389">
        <v>420</v>
      </c>
      <c r="C1389" t="str">
        <f>"51"</f>
        <v>51</v>
      </c>
      <c r="D1389">
        <v>6259</v>
      </c>
      <c r="E1389" t="str">
        <f>"55"</f>
        <v>55</v>
      </c>
      <c r="F1389" t="str">
        <f>"999"</f>
        <v>999</v>
      </c>
      <c r="G1389">
        <v>5</v>
      </c>
      <c r="H1389" t="str">
        <f>"99"</f>
        <v>99</v>
      </c>
      <c r="I1389" t="str">
        <f t="shared" si="404"/>
        <v>0</v>
      </c>
      <c r="J1389" t="str">
        <f t="shared" si="419"/>
        <v>00</v>
      </c>
      <c r="K1389">
        <v>20150416</v>
      </c>
      <c r="L1389" t="str">
        <f>"014912"</f>
        <v>014912</v>
      </c>
      <c r="M1389" t="str">
        <f>"00075"</f>
        <v>00075</v>
      </c>
      <c r="N1389" t="s">
        <v>649</v>
      </c>
      <c r="O1389">
        <v>953.64</v>
      </c>
      <c r="Q1389" t="s">
        <v>33</v>
      </c>
      <c r="R1389" t="s">
        <v>34</v>
      </c>
      <c r="S1389" t="s">
        <v>35</v>
      </c>
      <c r="T1389" t="s">
        <v>35</v>
      </c>
      <c r="U1389" t="s">
        <v>34</v>
      </c>
      <c r="V1389" t="str">
        <f>""</f>
        <v/>
      </c>
      <c r="W1389">
        <v>20150415</v>
      </c>
      <c r="X1389" t="s">
        <v>243</v>
      </c>
      <c r="Y1389" t="s">
        <v>244</v>
      </c>
      <c r="Z1389" t="s">
        <v>244</v>
      </c>
      <c r="AA1389">
        <v>0</v>
      </c>
      <c r="AB1389" t="s">
        <v>142</v>
      </c>
      <c r="AC1389" t="s">
        <v>143</v>
      </c>
      <c r="AD1389" t="s">
        <v>40</v>
      </c>
      <c r="AE1389" t="str">
        <f t="shared" si="418"/>
        <v>04</v>
      </c>
      <c r="AF1389" t="s">
        <v>40</v>
      </c>
    </row>
    <row r="1390" spans="1:32" x14ac:dyDescent="0.25">
      <c r="A1390">
        <v>5</v>
      </c>
      <c r="B1390">
        <v>420</v>
      </c>
      <c r="C1390" t="str">
        <f>"51"</f>
        <v>51</v>
      </c>
      <c r="D1390">
        <v>6219</v>
      </c>
      <c r="E1390" t="str">
        <f t="shared" ref="E1390:E1396" si="420">"00"</f>
        <v>00</v>
      </c>
      <c r="F1390" t="str">
        <f>"999"</f>
        <v>999</v>
      </c>
      <c r="G1390">
        <v>5</v>
      </c>
      <c r="H1390" t="str">
        <f>"99"</f>
        <v>99</v>
      </c>
      <c r="I1390" t="str">
        <f t="shared" si="404"/>
        <v>0</v>
      </c>
      <c r="J1390" t="str">
        <f t="shared" si="419"/>
        <v>00</v>
      </c>
      <c r="K1390">
        <v>20150416</v>
      </c>
      <c r="L1390" t="str">
        <f>"014913"</f>
        <v>014913</v>
      </c>
      <c r="M1390" t="str">
        <f>"00102"</f>
        <v>00102</v>
      </c>
      <c r="N1390" t="s">
        <v>367</v>
      </c>
      <c r="O1390">
        <v>145</v>
      </c>
      <c r="Q1390" t="s">
        <v>33</v>
      </c>
      <c r="R1390" t="s">
        <v>34</v>
      </c>
      <c r="S1390" t="s">
        <v>35</v>
      </c>
      <c r="T1390" t="s">
        <v>35</v>
      </c>
      <c r="U1390" t="s">
        <v>34</v>
      </c>
      <c r="V1390" t="str">
        <f>""</f>
        <v/>
      </c>
      <c r="W1390">
        <v>20150414</v>
      </c>
      <c r="X1390" t="s">
        <v>183</v>
      </c>
      <c r="Y1390" t="s">
        <v>368</v>
      </c>
      <c r="Z1390" t="s">
        <v>368</v>
      </c>
      <c r="AA1390">
        <v>0</v>
      </c>
      <c r="AB1390" t="s">
        <v>142</v>
      </c>
      <c r="AC1390" t="s">
        <v>143</v>
      </c>
      <c r="AD1390" t="s">
        <v>40</v>
      </c>
      <c r="AE1390" t="str">
        <f t="shared" si="418"/>
        <v>04</v>
      </c>
      <c r="AF1390" t="s">
        <v>40</v>
      </c>
    </row>
    <row r="1391" spans="1:32" x14ac:dyDescent="0.25">
      <c r="A1391">
        <v>5</v>
      </c>
      <c r="B1391">
        <v>211</v>
      </c>
      <c r="C1391" t="str">
        <f>"11"</f>
        <v>11</v>
      </c>
      <c r="D1391">
        <v>6399</v>
      </c>
      <c r="E1391" t="str">
        <f t="shared" si="420"/>
        <v>00</v>
      </c>
      <c r="F1391" t="str">
        <f>"101"</f>
        <v>101</v>
      </c>
      <c r="G1391">
        <v>5</v>
      </c>
      <c r="H1391" t="str">
        <f>"30"</f>
        <v>30</v>
      </c>
      <c r="I1391" t="str">
        <f t="shared" si="404"/>
        <v>0</v>
      </c>
      <c r="J1391" t="str">
        <f t="shared" si="419"/>
        <v>00</v>
      </c>
      <c r="K1391">
        <v>20150416</v>
      </c>
      <c r="L1391" t="str">
        <f>"014914"</f>
        <v>014914</v>
      </c>
      <c r="M1391" t="str">
        <f>"00522"</f>
        <v>00522</v>
      </c>
      <c r="N1391" t="s">
        <v>441</v>
      </c>
      <c r="O1391" s="1">
        <v>1502.05</v>
      </c>
      <c r="Q1391" t="s">
        <v>33</v>
      </c>
      <c r="R1391" t="s">
        <v>34</v>
      </c>
      <c r="S1391" t="s">
        <v>35</v>
      </c>
      <c r="T1391" t="s">
        <v>35</v>
      </c>
      <c r="U1391" t="s">
        <v>34</v>
      </c>
      <c r="V1391" t="str">
        <f>""</f>
        <v/>
      </c>
      <c r="W1391">
        <v>20150414</v>
      </c>
      <c r="X1391" t="s">
        <v>422</v>
      </c>
      <c r="Y1391" t="s">
        <v>810</v>
      </c>
      <c r="Z1391" t="s">
        <v>810</v>
      </c>
      <c r="AA1391">
        <v>0</v>
      </c>
      <c r="AB1391" t="s">
        <v>174</v>
      </c>
      <c r="AC1391" t="s">
        <v>41</v>
      </c>
      <c r="AD1391" t="s">
        <v>40</v>
      </c>
      <c r="AE1391" t="str">
        <f t="shared" si="418"/>
        <v>04</v>
      </c>
      <c r="AF1391" t="s">
        <v>40</v>
      </c>
    </row>
    <row r="1392" spans="1:32" x14ac:dyDescent="0.25">
      <c r="A1392">
        <v>5</v>
      </c>
      <c r="B1392">
        <v>420</v>
      </c>
      <c r="C1392" t="str">
        <f>"36"</f>
        <v>36</v>
      </c>
      <c r="D1392">
        <v>6399</v>
      </c>
      <c r="E1392" t="str">
        <f t="shared" si="420"/>
        <v>00</v>
      </c>
      <c r="F1392" t="str">
        <f>"041"</f>
        <v>041</v>
      </c>
      <c r="G1392">
        <v>5</v>
      </c>
      <c r="H1392" t="str">
        <f>"91"</f>
        <v>91</v>
      </c>
      <c r="I1392" t="str">
        <f t="shared" si="404"/>
        <v>0</v>
      </c>
      <c r="J1392" t="str">
        <f t="shared" si="419"/>
        <v>00</v>
      </c>
      <c r="K1392">
        <v>20150416</v>
      </c>
      <c r="L1392" t="str">
        <f>"014915"</f>
        <v>014915</v>
      </c>
      <c r="M1392" t="str">
        <f>"00838"</f>
        <v>00838</v>
      </c>
      <c r="N1392" t="s">
        <v>811</v>
      </c>
      <c r="O1392">
        <v>266.8</v>
      </c>
      <c r="Q1392" t="s">
        <v>33</v>
      </c>
      <c r="R1392" t="s">
        <v>34</v>
      </c>
      <c r="S1392" t="s">
        <v>35</v>
      </c>
      <c r="T1392" t="s">
        <v>35</v>
      </c>
      <c r="U1392" t="s">
        <v>34</v>
      </c>
      <c r="V1392" t="str">
        <f>""</f>
        <v/>
      </c>
      <c r="W1392">
        <v>20150414</v>
      </c>
      <c r="X1392" t="s">
        <v>680</v>
      </c>
      <c r="Y1392" t="s">
        <v>812</v>
      </c>
      <c r="Z1392" t="s">
        <v>812</v>
      </c>
      <c r="AA1392">
        <v>0</v>
      </c>
      <c r="AB1392" t="s">
        <v>142</v>
      </c>
      <c r="AC1392" t="s">
        <v>41</v>
      </c>
      <c r="AD1392" t="s">
        <v>40</v>
      </c>
      <c r="AE1392" t="str">
        <f t="shared" si="418"/>
        <v>04</v>
      </c>
      <c r="AF1392" t="s">
        <v>40</v>
      </c>
    </row>
    <row r="1393" spans="1:32" x14ac:dyDescent="0.25">
      <c r="A1393">
        <v>5</v>
      </c>
      <c r="B1393">
        <v>420</v>
      </c>
      <c r="C1393" t="str">
        <f>"13"</f>
        <v>13</v>
      </c>
      <c r="D1393">
        <v>6399</v>
      </c>
      <c r="E1393" t="str">
        <f t="shared" si="420"/>
        <v>00</v>
      </c>
      <c r="F1393" t="str">
        <f>"001"</f>
        <v>001</v>
      </c>
      <c r="G1393">
        <v>5</v>
      </c>
      <c r="H1393" t="str">
        <f>"11"</f>
        <v>11</v>
      </c>
      <c r="I1393" t="str">
        <f t="shared" si="404"/>
        <v>0</v>
      </c>
      <c r="J1393" t="str">
        <f t="shared" si="419"/>
        <v>00</v>
      </c>
      <c r="K1393">
        <v>20150416</v>
      </c>
      <c r="L1393" t="str">
        <f>"014916"</f>
        <v>014916</v>
      </c>
      <c r="M1393" t="str">
        <f>"00147"</f>
        <v>00147</v>
      </c>
      <c r="N1393" t="s">
        <v>813</v>
      </c>
      <c r="O1393">
        <v>73.5</v>
      </c>
      <c r="Q1393" t="s">
        <v>33</v>
      </c>
      <c r="R1393" t="s">
        <v>34</v>
      </c>
      <c r="S1393" t="s">
        <v>35</v>
      </c>
      <c r="T1393" t="s">
        <v>35</v>
      </c>
      <c r="U1393" t="s">
        <v>34</v>
      </c>
      <c r="V1393" t="str">
        <f>""</f>
        <v/>
      </c>
      <c r="W1393">
        <v>20150414</v>
      </c>
      <c r="X1393" t="s">
        <v>390</v>
      </c>
      <c r="Y1393" t="s">
        <v>814</v>
      </c>
      <c r="Z1393" t="s">
        <v>814</v>
      </c>
      <c r="AA1393">
        <v>0</v>
      </c>
      <c r="AB1393" t="s">
        <v>142</v>
      </c>
      <c r="AC1393" t="s">
        <v>41</v>
      </c>
      <c r="AD1393" t="s">
        <v>40</v>
      </c>
      <c r="AE1393" t="str">
        <f t="shared" si="418"/>
        <v>04</v>
      </c>
      <c r="AF1393" t="s">
        <v>40</v>
      </c>
    </row>
    <row r="1394" spans="1:32" x14ac:dyDescent="0.25">
      <c r="A1394">
        <v>5</v>
      </c>
      <c r="B1394">
        <v>420</v>
      </c>
      <c r="C1394" t="str">
        <f>"13"</f>
        <v>13</v>
      </c>
      <c r="D1394">
        <v>6399</v>
      </c>
      <c r="E1394" t="str">
        <f t="shared" si="420"/>
        <v>00</v>
      </c>
      <c r="F1394" t="str">
        <f>"041"</f>
        <v>041</v>
      </c>
      <c r="G1394">
        <v>5</v>
      </c>
      <c r="H1394" t="str">
        <f>"11"</f>
        <v>11</v>
      </c>
      <c r="I1394" t="str">
        <f t="shared" si="404"/>
        <v>0</v>
      </c>
      <c r="J1394" t="str">
        <f t="shared" si="419"/>
        <v>00</v>
      </c>
      <c r="K1394">
        <v>20150416</v>
      </c>
      <c r="L1394" t="str">
        <f>"014916"</f>
        <v>014916</v>
      </c>
      <c r="M1394" t="str">
        <f>"00147"</f>
        <v>00147</v>
      </c>
      <c r="N1394" t="s">
        <v>813</v>
      </c>
      <c r="O1394">
        <v>99.96</v>
      </c>
      <c r="Q1394" t="s">
        <v>33</v>
      </c>
      <c r="R1394" t="s">
        <v>34</v>
      </c>
      <c r="S1394" t="s">
        <v>35</v>
      </c>
      <c r="T1394" t="s">
        <v>35</v>
      </c>
      <c r="U1394" t="s">
        <v>34</v>
      </c>
      <c r="V1394" t="str">
        <f>""</f>
        <v/>
      </c>
      <c r="W1394">
        <v>20150414</v>
      </c>
      <c r="X1394" t="s">
        <v>392</v>
      </c>
      <c r="Y1394" t="s">
        <v>814</v>
      </c>
      <c r="Z1394" t="s">
        <v>814</v>
      </c>
      <c r="AA1394">
        <v>0</v>
      </c>
      <c r="AB1394" t="s">
        <v>142</v>
      </c>
      <c r="AC1394" t="s">
        <v>41</v>
      </c>
      <c r="AD1394" t="s">
        <v>40</v>
      </c>
      <c r="AE1394" t="str">
        <f t="shared" si="418"/>
        <v>04</v>
      </c>
      <c r="AF1394" t="s">
        <v>40</v>
      </c>
    </row>
    <row r="1395" spans="1:32" x14ac:dyDescent="0.25">
      <c r="A1395">
        <v>5</v>
      </c>
      <c r="B1395">
        <v>420</v>
      </c>
      <c r="C1395" t="str">
        <f>"13"</f>
        <v>13</v>
      </c>
      <c r="D1395">
        <v>6399</v>
      </c>
      <c r="E1395" t="str">
        <f t="shared" si="420"/>
        <v>00</v>
      </c>
      <c r="F1395" t="str">
        <f>"101"</f>
        <v>101</v>
      </c>
      <c r="G1395">
        <v>5</v>
      </c>
      <c r="H1395" t="str">
        <f>"11"</f>
        <v>11</v>
      </c>
      <c r="I1395" t="str">
        <f t="shared" si="404"/>
        <v>0</v>
      </c>
      <c r="J1395" t="str">
        <f t="shared" si="419"/>
        <v>00</v>
      </c>
      <c r="K1395">
        <v>20150416</v>
      </c>
      <c r="L1395" t="str">
        <f>"014916"</f>
        <v>014916</v>
      </c>
      <c r="M1395" t="str">
        <f>"00147"</f>
        <v>00147</v>
      </c>
      <c r="N1395" t="s">
        <v>813</v>
      </c>
      <c r="O1395">
        <v>414.54</v>
      </c>
      <c r="Q1395" t="s">
        <v>33</v>
      </c>
      <c r="R1395" t="s">
        <v>34</v>
      </c>
      <c r="S1395" t="s">
        <v>35</v>
      </c>
      <c r="T1395" t="s">
        <v>35</v>
      </c>
      <c r="U1395" t="s">
        <v>34</v>
      </c>
      <c r="V1395" t="str">
        <f>""</f>
        <v/>
      </c>
      <c r="W1395">
        <v>20150414</v>
      </c>
      <c r="X1395" t="s">
        <v>393</v>
      </c>
      <c r="Y1395" t="s">
        <v>814</v>
      </c>
      <c r="Z1395" t="s">
        <v>814</v>
      </c>
      <c r="AA1395">
        <v>0</v>
      </c>
      <c r="AB1395" t="s">
        <v>142</v>
      </c>
      <c r="AC1395" t="s">
        <v>41</v>
      </c>
      <c r="AD1395" t="s">
        <v>40</v>
      </c>
      <c r="AE1395" t="str">
        <f t="shared" si="418"/>
        <v>04</v>
      </c>
      <c r="AF1395" t="s">
        <v>40</v>
      </c>
    </row>
    <row r="1396" spans="1:32" x14ac:dyDescent="0.25">
      <c r="A1396">
        <v>5</v>
      </c>
      <c r="B1396">
        <v>420</v>
      </c>
      <c r="C1396" t="str">
        <f>"11"</f>
        <v>11</v>
      </c>
      <c r="D1396">
        <v>6269</v>
      </c>
      <c r="E1396" t="str">
        <f t="shared" si="420"/>
        <v>00</v>
      </c>
      <c r="F1396" t="str">
        <f t="shared" ref="F1396:F1405" si="421">"999"</f>
        <v>999</v>
      </c>
      <c r="G1396">
        <v>5</v>
      </c>
      <c r="H1396" t="str">
        <f>"11"</f>
        <v>11</v>
      </c>
      <c r="I1396" t="str">
        <f t="shared" si="404"/>
        <v>0</v>
      </c>
      <c r="J1396" t="str">
        <f t="shared" si="419"/>
        <v>00</v>
      </c>
      <c r="K1396">
        <v>20150416</v>
      </c>
      <c r="L1396" t="str">
        <f>"014917"</f>
        <v>014917</v>
      </c>
      <c r="M1396" t="str">
        <f>"00218"</f>
        <v>00218</v>
      </c>
      <c r="N1396" t="s">
        <v>694</v>
      </c>
      <c r="O1396">
        <v>205.47</v>
      </c>
      <c r="Q1396" t="s">
        <v>33</v>
      </c>
      <c r="R1396" t="s">
        <v>34</v>
      </c>
      <c r="S1396" t="s">
        <v>35</v>
      </c>
      <c r="T1396" t="s">
        <v>35</v>
      </c>
      <c r="U1396" t="s">
        <v>34</v>
      </c>
      <c r="V1396" t="str">
        <f>""</f>
        <v/>
      </c>
      <c r="W1396">
        <v>20150414</v>
      </c>
      <c r="X1396" t="s">
        <v>213</v>
      </c>
      <c r="Y1396" t="s">
        <v>231</v>
      </c>
      <c r="Z1396" t="s">
        <v>231</v>
      </c>
      <c r="AA1396">
        <v>0</v>
      </c>
      <c r="AB1396" t="s">
        <v>142</v>
      </c>
      <c r="AC1396" t="s">
        <v>143</v>
      </c>
      <c r="AD1396" t="s">
        <v>40</v>
      </c>
      <c r="AE1396" t="str">
        <f t="shared" si="418"/>
        <v>04</v>
      </c>
      <c r="AF1396" t="s">
        <v>40</v>
      </c>
    </row>
    <row r="1397" spans="1:32" x14ac:dyDescent="0.25">
      <c r="A1397">
        <v>5</v>
      </c>
      <c r="B1397">
        <v>420</v>
      </c>
      <c r="C1397" t="str">
        <f>"51"</f>
        <v>51</v>
      </c>
      <c r="D1397">
        <v>6259</v>
      </c>
      <c r="E1397" t="str">
        <f>"55"</f>
        <v>55</v>
      </c>
      <c r="F1397" t="str">
        <f t="shared" si="421"/>
        <v>999</v>
      </c>
      <c r="G1397">
        <v>5</v>
      </c>
      <c r="H1397" t="str">
        <f t="shared" ref="H1397:H1405" si="422">"99"</f>
        <v>99</v>
      </c>
      <c r="I1397" t="str">
        <f t="shared" si="404"/>
        <v>0</v>
      </c>
      <c r="J1397" t="str">
        <f t="shared" si="419"/>
        <v>00</v>
      </c>
      <c r="K1397">
        <v>20150416</v>
      </c>
      <c r="L1397" t="str">
        <f>"014918"</f>
        <v>014918</v>
      </c>
      <c r="M1397" t="str">
        <f>"00306"</f>
        <v>00306</v>
      </c>
      <c r="N1397" t="s">
        <v>754</v>
      </c>
      <c r="O1397">
        <v>200</v>
      </c>
      <c r="Q1397" t="s">
        <v>33</v>
      </c>
      <c r="R1397" t="s">
        <v>34</v>
      </c>
      <c r="S1397" t="s">
        <v>35</v>
      </c>
      <c r="T1397" t="s">
        <v>35</v>
      </c>
      <c r="U1397" t="s">
        <v>34</v>
      </c>
      <c r="V1397" t="str">
        <f>""</f>
        <v/>
      </c>
      <c r="W1397">
        <v>20150416</v>
      </c>
      <c r="X1397" t="s">
        <v>243</v>
      </c>
      <c r="Y1397" t="s">
        <v>244</v>
      </c>
      <c r="Z1397" t="s">
        <v>244</v>
      </c>
      <c r="AA1397">
        <v>0</v>
      </c>
      <c r="AB1397" t="s">
        <v>142</v>
      </c>
      <c r="AC1397" t="s">
        <v>143</v>
      </c>
      <c r="AD1397" t="s">
        <v>40</v>
      </c>
      <c r="AE1397" t="str">
        <f t="shared" si="418"/>
        <v>04</v>
      </c>
      <c r="AF1397" t="s">
        <v>40</v>
      </c>
    </row>
    <row r="1398" spans="1:32" x14ac:dyDescent="0.25">
      <c r="A1398">
        <v>5</v>
      </c>
      <c r="B1398">
        <v>420</v>
      </c>
      <c r="C1398" t="str">
        <f>"51"</f>
        <v>51</v>
      </c>
      <c r="D1398">
        <v>6259</v>
      </c>
      <c r="E1398" t="str">
        <f>"55"</f>
        <v>55</v>
      </c>
      <c r="F1398" t="str">
        <f t="shared" si="421"/>
        <v>999</v>
      </c>
      <c r="G1398">
        <v>5</v>
      </c>
      <c r="H1398" t="str">
        <f t="shared" si="422"/>
        <v>99</v>
      </c>
      <c r="I1398" t="str">
        <f t="shared" si="404"/>
        <v>0</v>
      </c>
      <c r="J1398" t="str">
        <f t="shared" si="419"/>
        <v>00</v>
      </c>
      <c r="K1398">
        <v>20150416</v>
      </c>
      <c r="L1398" t="str">
        <f>"014918"</f>
        <v>014918</v>
      </c>
      <c r="M1398" t="str">
        <f>"00306"</f>
        <v>00306</v>
      </c>
      <c r="N1398" t="s">
        <v>754</v>
      </c>
      <c r="O1398">
        <v>200</v>
      </c>
      <c r="Q1398" t="s">
        <v>33</v>
      </c>
      <c r="R1398" t="s">
        <v>34</v>
      </c>
      <c r="S1398" t="s">
        <v>35</v>
      </c>
      <c r="T1398" t="s">
        <v>35</v>
      </c>
      <c r="U1398" t="s">
        <v>34</v>
      </c>
      <c r="V1398" t="str">
        <f>""</f>
        <v/>
      </c>
      <c r="W1398">
        <v>20150416</v>
      </c>
      <c r="X1398" t="s">
        <v>243</v>
      </c>
      <c r="Y1398" t="s">
        <v>244</v>
      </c>
      <c r="Z1398" t="s">
        <v>244</v>
      </c>
      <c r="AA1398">
        <v>0</v>
      </c>
      <c r="AB1398" t="s">
        <v>142</v>
      </c>
      <c r="AC1398" t="s">
        <v>143</v>
      </c>
      <c r="AD1398" t="s">
        <v>40</v>
      </c>
      <c r="AE1398" t="str">
        <f t="shared" si="418"/>
        <v>04</v>
      </c>
      <c r="AF1398" t="s">
        <v>40</v>
      </c>
    </row>
    <row r="1399" spans="1:32" x14ac:dyDescent="0.25">
      <c r="A1399">
        <v>5</v>
      </c>
      <c r="B1399">
        <v>420</v>
      </c>
      <c r="C1399" t="str">
        <f>"51"</f>
        <v>51</v>
      </c>
      <c r="D1399">
        <v>6259</v>
      </c>
      <c r="E1399" t="str">
        <f>"55"</f>
        <v>55</v>
      </c>
      <c r="F1399" t="str">
        <f t="shared" si="421"/>
        <v>999</v>
      </c>
      <c r="G1399">
        <v>5</v>
      </c>
      <c r="H1399" t="str">
        <f t="shared" si="422"/>
        <v>99</v>
      </c>
      <c r="I1399" t="str">
        <f t="shared" si="404"/>
        <v>0</v>
      </c>
      <c r="J1399" t="str">
        <f t="shared" si="419"/>
        <v>00</v>
      </c>
      <c r="K1399">
        <v>20150416</v>
      </c>
      <c r="L1399" t="str">
        <f>"014918"</f>
        <v>014918</v>
      </c>
      <c r="M1399" t="str">
        <f>"00306"</f>
        <v>00306</v>
      </c>
      <c r="N1399" t="s">
        <v>754</v>
      </c>
      <c r="O1399">
        <v>45.25</v>
      </c>
      <c r="Q1399" t="s">
        <v>33</v>
      </c>
      <c r="R1399" t="s">
        <v>34</v>
      </c>
      <c r="S1399" t="s">
        <v>35</v>
      </c>
      <c r="T1399" t="s">
        <v>35</v>
      </c>
      <c r="U1399" t="s">
        <v>34</v>
      </c>
      <c r="V1399" t="str">
        <f>""</f>
        <v/>
      </c>
      <c r="W1399">
        <v>20150416</v>
      </c>
      <c r="X1399" t="s">
        <v>243</v>
      </c>
      <c r="Y1399" t="s">
        <v>244</v>
      </c>
      <c r="Z1399" t="s">
        <v>244</v>
      </c>
      <c r="AA1399">
        <v>0</v>
      </c>
      <c r="AB1399" t="s">
        <v>142</v>
      </c>
      <c r="AC1399" t="s">
        <v>143</v>
      </c>
      <c r="AD1399" t="s">
        <v>40</v>
      </c>
      <c r="AE1399" t="str">
        <f t="shared" si="418"/>
        <v>04</v>
      </c>
      <c r="AF1399" t="s">
        <v>40</v>
      </c>
    </row>
    <row r="1400" spans="1:32" x14ac:dyDescent="0.25">
      <c r="A1400">
        <v>5</v>
      </c>
      <c r="B1400">
        <v>240</v>
      </c>
      <c r="C1400" t="str">
        <f>"35"</f>
        <v>35</v>
      </c>
      <c r="D1400">
        <v>6341</v>
      </c>
      <c r="E1400" t="str">
        <f t="shared" ref="E1400:E1431" si="423">"00"</f>
        <v>00</v>
      </c>
      <c r="F1400" t="str">
        <f t="shared" si="421"/>
        <v>999</v>
      </c>
      <c r="G1400">
        <v>5</v>
      </c>
      <c r="H1400" t="str">
        <f t="shared" si="422"/>
        <v>99</v>
      </c>
      <c r="I1400" t="str">
        <f t="shared" si="404"/>
        <v>0</v>
      </c>
      <c r="J1400" t="str">
        <f t="shared" si="419"/>
        <v>00</v>
      </c>
      <c r="K1400">
        <v>20150416</v>
      </c>
      <c r="L1400" t="str">
        <f>"014919"</f>
        <v>014919</v>
      </c>
      <c r="M1400" t="str">
        <f>"00391"</f>
        <v>00391</v>
      </c>
      <c r="N1400" t="s">
        <v>265</v>
      </c>
      <c r="O1400" s="1">
        <v>2461.0300000000002</v>
      </c>
      <c r="Q1400" t="s">
        <v>33</v>
      </c>
      <c r="R1400" t="s">
        <v>34</v>
      </c>
      <c r="S1400" t="s">
        <v>35</v>
      </c>
      <c r="T1400" t="s">
        <v>35</v>
      </c>
      <c r="U1400" t="s">
        <v>34</v>
      </c>
      <c r="V1400" t="str">
        <f>""</f>
        <v/>
      </c>
      <c r="W1400">
        <v>20150414</v>
      </c>
      <c r="X1400" t="s">
        <v>268</v>
      </c>
      <c r="Y1400" t="s">
        <v>266</v>
      </c>
      <c r="Z1400" t="s">
        <v>266</v>
      </c>
      <c r="AA1400">
        <v>0</v>
      </c>
      <c r="AB1400" t="s">
        <v>238</v>
      </c>
      <c r="AC1400" t="s">
        <v>143</v>
      </c>
      <c r="AD1400" t="s">
        <v>40</v>
      </c>
      <c r="AE1400" t="str">
        <f t="shared" si="418"/>
        <v>04</v>
      </c>
      <c r="AF1400" t="s">
        <v>40</v>
      </c>
    </row>
    <row r="1401" spans="1:32" x14ac:dyDescent="0.25">
      <c r="A1401">
        <v>5</v>
      </c>
      <c r="B1401">
        <v>240</v>
      </c>
      <c r="C1401" t="str">
        <f>"35"</f>
        <v>35</v>
      </c>
      <c r="D1401">
        <v>6341</v>
      </c>
      <c r="E1401" t="str">
        <f t="shared" si="423"/>
        <v>00</v>
      </c>
      <c r="F1401" t="str">
        <f t="shared" si="421"/>
        <v>999</v>
      </c>
      <c r="G1401">
        <v>5</v>
      </c>
      <c r="H1401" t="str">
        <f t="shared" si="422"/>
        <v>99</v>
      </c>
      <c r="I1401" t="str">
        <f t="shared" si="404"/>
        <v>0</v>
      </c>
      <c r="J1401" t="str">
        <f t="shared" si="419"/>
        <v>00</v>
      </c>
      <c r="K1401">
        <v>20150416</v>
      </c>
      <c r="L1401" t="str">
        <f>"014919"</f>
        <v>014919</v>
      </c>
      <c r="M1401" t="str">
        <f>"00391"</f>
        <v>00391</v>
      </c>
      <c r="N1401" t="s">
        <v>265</v>
      </c>
      <c r="O1401">
        <v>355.87</v>
      </c>
      <c r="Q1401" t="s">
        <v>33</v>
      </c>
      <c r="R1401" t="s">
        <v>34</v>
      </c>
      <c r="S1401" t="s">
        <v>35</v>
      </c>
      <c r="T1401" t="s">
        <v>35</v>
      </c>
      <c r="U1401" t="s">
        <v>34</v>
      </c>
      <c r="V1401" t="str">
        <f>""</f>
        <v/>
      </c>
      <c r="W1401">
        <v>20150414</v>
      </c>
      <c r="X1401" t="s">
        <v>268</v>
      </c>
      <c r="Y1401" t="s">
        <v>266</v>
      </c>
      <c r="Z1401" t="s">
        <v>266</v>
      </c>
      <c r="AA1401">
        <v>0</v>
      </c>
      <c r="AB1401" t="s">
        <v>238</v>
      </c>
      <c r="AC1401" t="s">
        <v>143</v>
      </c>
      <c r="AD1401" t="s">
        <v>40</v>
      </c>
      <c r="AE1401" t="str">
        <f t="shared" si="418"/>
        <v>04</v>
      </c>
      <c r="AF1401" t="s">
        <v>40</v>
      </c>
    </row>
    <row r="1402" spans="1:32" x14ac:dyDescent="0.25">
      <c r="A1402">
        <v>5</v>
      </c>
      <c r="B1402">
        <v>240</v>
      </c>
      <c r="C1402" t="str">
        <f>"35"</f>
        <v>35</v>
      </c>
      <c r="D1402">
        <v>6342</v>
      </c>
      <c r="E1402" t="str">
        <f t="shared" si="423"/>
        <v>00</v>
      </c>
      <c r="F1402" t="str">
        <f t="shared" si="421"/>
        <v>999</v>
      </c>
      <c r="G1402">
        <v>5</v>
      </c>
      <c r="H1402" t="str">
        <f t="shared" si="422"/>
        <v>99</v>
      </c>
      <c r="I1402" t="str">
        <f t="shared" si="404"/>
        <v>0</v>
      </c>
      <c r="J1402" t="str">
        <f t="shared" si="419"/>
        <v>00</v>
      </c>
      <c r="K1402">
        <v>20150416</v>
      </c>
      <c r="L1402" t="str">
        <f>"014919"</f>
        <v>014919</v>
      </c>
      <c r="M1402" t="str">
        <f>"00391"</f>
        <v>00391</v>
      </c>
      <c r="N1402" t="s">
        <v>265</v>
      </c>
      <c r="O1402">
        <v>148.41999999999999</v>
      </c>
      <c r="Q1402" t="s">
        <v>33</v>
      </c>
      <c r="R1402" t="s">
        <v>34</v>
      </c>
      <c r="S1402" t="s">
        <v>35</v>
      </c>
      <c r="T1402" t="s">
        <v>35</v>
      </c>
      <c r="U1402" t="s">
        <v>34</v>
      </c>
      <c r="V1402" t="str">
        <f>""</f>
        <v/>
      </c>
      <c r="W1402">
        <v>20150414</v>
      </c>
      <c r="X1402" t="s">
        <v>269</v>
      </c>
      <c r="Y1402" t="s">
        <v>266</v>
      </c>
      <c r="Z1402" t="s">
        <v>266</v>
      </c>
      <c r="AA1402">
        <v>0</v>
      </c>
      <c r="AB1402" t="s">
        <v>238</v>
      </c>
      <c r="AC1402" t="s">
        <v>143</v>
      </c>
      <c r="AD1402" t="s">
        <v>40</v>
      </c>
      <c r="AE1402" t="str">
        <f t="shared" si="418"/>
        <v>04</v>
      </c>
      <c r="AF1402" t="s">
        <v>40</v>
      </c>
    </row>
    <row r="1403" spans="1:32" x14ac:dyDescent="0.25">
      <c r="A1403">
        <v>5</v>
      </c>
      <c r="B1403">
        <v>240</v>
      </c>
      <c r="C1403" t="str">
        <f>"51"</f>
        <v>51</v>
      </c>
      <c r="D1403">
        <v>6319</v>
      </c>
      <c r="E1403" t="str">
        <f t="shared" si="423"/>
        <v>00</v>
      </c>
      <c r="F1403" t="str">
        <f t="shared" si="421"/>
        <v>999</v>
      </c>
      <c r="G1403">
        <v>5</v>
      </c>
      <c r="H1403" t="str">
        <f t="shared" si="422"/>
        <v>99</v>
      </c>
      <c r="I1403" t="str">
        <f t="shared" si="404"/>
        <v>0</v>
      </c>
      <c r="J1403" t="str">
        <f t="shared" si="419"/>
        <v>00</v>
      </c>
      <c r="K1403">
        <v>20150416</v>
      </c>
      <c r="L1403" t="str">
        <f>"014919"</f>
        <v>014919</v>
      </c>
      <c r="M1403" t="str">
        <f>"00391"</f>
        <v>00391</v>
      </c>
      <c r="N1403" t="s">
        <v>265</v>
      </c>
      <c r="O1403">
        <v>122.51</v>
      </c>
      <c r="Q1403" t="s">
        <v>33</v>
      </c>
      <c r="R1403" t="s">
        <v>34</v>
      </c>
      <c r="S1403" t="s">
        <v>35</v>
      </c>
      <c r="T1403" t="s">
        <v>35</v>
      </c>
      <c r="U1403" t="s">
        <v>34</v>
      </c>
      <c r="V1403" t="str">
        <f>""</f>
        <v/>
      </c>
      <c r="W1403">
        <v>20150414</v>
      </c>
      <c r="X1403" t="s">
        <v>350</v>
      </c>
      <c r="Y1403" t="s">
        <v>266</v>
      </c>
      <c r="Z1403" t="s">
        <v>266</v>
      </c>
      <c r="AA1403">
        <v>0</v>
      </c>
      <c r="AB1403" t="s">
        <v>238</v>
      </c>
      <c r="AC1403" t="s">
        <v>143</v>
      </c>
      <c r="AD1403" t="s">
        <v>40</v>
      </c>
      <c r="AE1403" t="str">
        <f t="shared" si="418"/>
        <v>04</v>
      </c>
      <c r="AF1403" t="s">
        <v>40</v>
      </c>
    </row>
    <row r="1404" spans="1:32" x14ac:dyDescent="0.25">
      <c r="A1404">
        <v>5</v>
      </c>
      <c r="B1404">
        <v>240</v>
      </c>
      <c r="C1404" t="str">
        <f>"35"</f>
        <v>35</v>
      </c>
      <c r="D1404">
        <v>6299</v>
      </c>
      <c r="E1404" t="str">
        <f t="shared" si="423"/>
        <v>00</v>
      </c>
      <c r="F1404" t="str">
        <f t="shared" si="421"/>
        <v>999</v>
      </c>
      <c r="G1404">
        <v>5</v>
      </c>
      <c r="H1404" t="str">
        <f t="shared" si="422"/>
        <v>99</v>
      </c>
      <c r="I1404" t="str">
        <f t="shared" si="404"/>
        <v>0</v>
      </c>
      <c r="J1404" t="str">
        <f t="shared" si="419"/>
        <v>00</v>
      </c>
      <c r="K1404">
        <v>20150416</v>
      </c>
      <c r="L1404" t="str">
        <f>"014920"</f>
        <v>014920</v>
      </c>
      <c r="M1404" t="str">
        <f>"00577"</f>
        <v>00577</v>
      </c>
      <c r="N1404" t="s">
        <v>251</v>
      </c>
      <c r="O1404">
        <v>25.63</v>
      </c>
      <c r="Q1404" t="s">
        <v>33</v>
      </c>
      <c r="R1404" t="s">
        <v>34</v>
      </c>
      <c r="S1404" t="s">
        <v>35</v>
      </c>
      <c r="T1404" t="s">
        <v>35</v>
      </c>
      <c r="U1404" t="s">
        <v>34</v>
      </c>
      <c r="V1404" t="str">
        <f>""</f>
        <v/>
      </c>
      <c r="W1404">
        <v>20150414</v>
      </c>
      <c r="X1404" t="s">
        <v>252</v>
      </c>
      <c r="Y1404" t="s">
        <v>253</v>
      </c>
      <c r="Z1404" t="s">
        <v>253</v>
      </c>
      <c r="AA1404">
        <v>0</v>
      </c>
      <c r="AB1404" t="s">
        <v>238</v>
      </c>
      <c r="AC1404" t="s">
        <v>143</v>
      </c>
      <c r="AD1404" t="s">
        <v>40</v>
      </c>
      <c r="AE1404" t="str">
        <f t="shared" si="418"/>
        <v>04</v>
      </c>
      <c r="AF1404" t="s">
        <v>40</v>
      </c>
    </row>
    <row r="1405" spans="1:32" x14ac:dyDescent="0.25">
      <c r="A1405">
        <v>5</v>
      </c>
      <c r="B1405">
        <v>420</v>
      </c>
      <c r="C1405" t="str">
        <f>"51"</f>
        <v>51</v>
      </c>
      <c r="D1405">
        <v>6299</v>
      </c>
      <c r="E1405" t="str">
        <f t="shared" si="423"/>
        <v>00</v>
      </c>
      <c r="F1405" t="str">
        <f t="shared" si="421"/>
        <v>999</v>
      </c>
      <c r="G1405">
        <v>5</v>
      </c>
      <c r="H1405" t="str">
        <f t="shared" si="422"/>
        <v>99</v>
      </c>
      <c r="I1405" t="str">
        <f t="shared" si="404"/>
        <v>0</v>
      </c>
      <c r="J1405" t="str">
        <f t="shared" si="419"/>
        <v>00</v>
      </c>
      <c r="K1405">
        <v>20150416</v>
      </c>
      <c r="L1405" t="str">
        <f>"014920"</f>
        <v>014920</v>
      </c>
      <c r="M1405" t="str">
        <f>"00577"</f>
        <v>00577</v>
      </c>
      <c r="N1405" t="s">
        <v>251</v>
      </c>
      <c r="O1405">
        <v>63.72</v>
      </c>
      <c r="Q1405" t="s">
        <v>33</v>
      </c>
      <c r="R1405" t="s">
        <v>34</v>
      </c>
      <c r="S1405" t="s">
        <v>35</v>
      </c>
      <c r="T1405" t="s">
        <v>35</v>
      </c>
      <c r="U1405" t="s">
        <v>34</v>
      </c>
      <c r="V1405" t="str">
        <f>""</f>
        <v/>
      </c>
      <c r="W1405">
        <v>20150414</v>
      </c>
      <c r="X1405" t="s">
        <v>203</v>
      </c>
      <c r="Y1405" t="s">
        <v>253</v>
      </c>
      <c r="Z1405" t="s">
        <v>253</v>
      </c>
      <c r="AA1405">
        <v>0</v>
      </c>
      <c r="AB1405" t="s">
        <v>142</v>
      </c>
      <c r="AC1405" t="s">
        <v>143</v>
      </c>
      <c r="AD1405" t="s">
        <v>40</v>
      </c>
      <c r="AE1405" t="str">
        <f t="shared" si="418"/>
        <v>04</v>
      </c>
      <c r="AF1405" t="s">
        <v>40</v>
      </c>
    </row>
    <row r="1406" spans="1:32" x14ac:dyDescent="0.25">
      <c r="A1406">
        <v>5</v>
      </c>
      <c r="B1406">
        <v>211</v>
      </c>
      <c r="C1406" t="str">
        <f>"11"</f>
        <v>11</v>
      </c>
      <c r="D1406">
        <v>6399</v>
      </c>
      <c r="E1406" t="str">
        <f t="shared" si="423"/>
        <v>00</v>
      </c>
      <c r="F1406" t="str">
        <f>"101"</f>
        <v>101</v>
      </c>
      <c r="G1406">
        <v>5</v>
      </c>
      <c r="H1406" t="str">
        <f>"30"</f>
        <v>30</v>
      </c>
      <c r="I1406" t="str">
        <f t="shared" si="404"/>
        <v>0</v>
      </c>
      <c r="J1406" t="str">
        <f t="shared" si="419"/>
        <v>00</v>
      </c>
      <c r="K1406">
        <v>20150423</v>
      </c>
      <c r="L1406" t="str">
        <f t="shared" ref="L1406:L1415" si="424">"014921"</f>
        <v>014921</v>
      </c>
      <c r="M1406" t="str">
        <f t="shared" ref="M1406:M1415" si="425">"00015"</f>
        <v>00015</v>
      </c>
      <c r="N1406" t="s">
        <v>44</v>
      </c>
      <c r="O1406">
        <v>928.33</v>
      </c>
      <c r="Q1406" t="s">
        <v>33</v>
      </c>
      <c r="R1406" t="s">
        <v>34</v>
      </c>
      <c r="S1406" t="s">
        <v>35</v>
      </c>
      <c r="T1406" t="s">
        <v>35</v>
      </c>
      <c r="U1406" t="s">
        <v>34</v>
      </c>
      <c r="V1406" t="str">
        <f>""</f>
        <v/>
      </c>
      <c r="W1406">
        <v>20150422</v>
      </c>
      <c r="X1406" t="s">
        <v>422</v>
      </c>
      <c r="Y1406" t="s">
        <v>522</v>
      </c>
      <c r="Z1406" t="s">
        <v>522</v>
      </c>
      <c r="AA1406">
        <v>0</v>
      </c>
      <c r="AB1406" t="s">
        <v>174</v>
      </c>
      <c r="AC1406" t="s">
        <v>41</v>
      </c>
      <c r="AD1406" t="s">
        <v>40</v>
      </c>
      <c r="AE1406" t="str">
        <f t="shared" si="418"/>
        <v>04</v>
      </c>
      <c r="AF1406" t="s">
        <v>40</v>
      </c>
    </row>
    <row r="1407" spans="1:32" x14ac:dyDescent="0.25">
      <c r="A1407">
        <v>5</v>
      </c>
      <c r="B1407">
        <v>420</v>
      </c>
      <c r="C1407" t="str">
        <f>"11"</f>
        <v>11</v>
      </c>
      <c r="D1407">
        <v>6399</v>
      </c>
      <c r="E1407" t="str">
        <f t="shared" si="423"/>
        <v>00</v>
      </c>
      <c r="F1407" t="str">
        <f>"001"</f>
        <v>001</v>
      </c>
      <c r="G1407">
        <v>5</v>
      </c>
      <c r="H1407" t="str">
        <f>"11"</f>
        <v>11</v>
      </c>
      <c r="I1407" t="str">
        <f t="shared" si="404"/>
        <v>0</v>
      </c>
      <c r="J1407" t="str">
        <f t="shared" si="419"/>
        <v>00</v>
      </c>
      <c r="K1407">
        <v>20150423</v>
      </c>
      <c r="L1407" t="str">
        <f t="shared" si="424"/>
        <v>014921</v>
      </c>
      <c r="M1407" t="str">
        <f t="shared" si="425"/>
        <v>00015</v>
      </c>
      <c r="N1407" t="s">
        <v>44</v>
      </c>
      <c r="O1407">
        <v>104.9</v>
      </c>
      <c r="Q1407" t="s">
        <v>33</v>
      </c>
      <c r="R1407" t="s">
        <v>34</v>
      </c>
      <c r="S1407" t="s">
        <v>35</v>
      </c>
      <c r="T1407" t="s">
        <v>35</v>
      </c>
      <c r="U1407" t="s">
        <v>34</v>
      </c>
      <c r="V1407" t="str">
        <f>""</f>
        <v/>
      </c>
      <c r="W1407">
        <v>20150422</v>
      </c>
      <c r="X1407" t="s">
        <v>239</v>
      </c>
      <c r="Y1407" t="s">
        <v>815</v>
      </c>
      <c r="Z1407" t="s">
        <v>815</v>
      </c>
      <c r="AA1407">
        <v>0</v>
      </c>
      <c r="AB1407" t="s">
        <v>142</v>
      </c>
      <c r="AC1407" t="s">
        <v>41</v>
      </c>
      <c r="AD1407" t="s">
        <v>40</v>
      </c>
      <c r="AE1407" t="str">
        <f t="shared" si="418"/>
        <v>04</v>
      </c>
      <c r="AF1407" t="s">
        <v>40</v>
      </c>
    </row>
    <row r="1408" spans="1:32" x14ac:dyDescent="0.25">
      <c r="A1408">
        <v>5</v>
      </c>
      <c r="B1408">
        <v>420</v>
      </c>
      <c r="C1408" t="str">
        <f>"11"</f>
        <v>11</v>
      </c>
      <c r="D1408">
        <v>6399</v>
      </c>
      <c r="E1408" t="str">
        <f t="shared" si="423"/>
        <v>00</v>
      </c>
      <c r="F1408" t="str">
        <f>"041"</f>
        <v>041</v>
      </c>
      <c r="G1408">
        <v>5</v>
      </c>
      <c r="H1408" t="str">
        <f>"11"</f>
        <v>11</v>
      </c>
      <c r="I1408" t="str">
        <f t="shared" si="404"/>
        <v>0</v>
      </c>
      <c r="J1408" t="str">
        <f t="shared" si="419"/>
        <v>00</v>
      </c>
      <c r="K1408">
        <v>20150423</v>
      </c>
      <c r="L1408" t="str">
        <f t="shared" si="424"/>
        <v>014921</v>
      </c>
      <c r="M1408" t="str">
        <f t="shared" si="425"/>
        <v>00015</v>
      </c>
      <c r="N1408" t="s">
        <v>44</v>
      </c>
      <c r="O1408">
        <v>22.32</v>
      </c>
      <c r="Q1408" t="s">
        <v>33</v>
      </c>
      <c r="R1408" t="s">
        <v>34</v>
      </c>
      <c r="S1408" t="s">
        <v>35</v>
      </c>
      <c r="T1408" t="s">
        <v>35</v>
      </c>
      <c r="U1408" t="s">
        <v>34</v>
      </c>
      <c r="V1408" t="str">
        <f>""</f>
        <v/>
      </c>
      <c r="W1408">
        <v>20150422</v>
      </c>
      <c r="X1408" t="s">
        <v>241</v>
      </c>
      <c r="Y1408" t="s">
        <v>815</v>
      </c>
      <c r="Z1408" t="s">
        <v>815</v>
      </c>
      <c r="AA1408">
        <v>0</v>
      </c>
      <c r="AB1408" t="s">
        <v>142</v>
      </c>
      <c r="AC1408" t="s">
        <v>41</v>
      </c>
      <c r="AD1408" t="s">
        <v>40</v>
      </c>
      <c r="AE1408" t="str">
        <f t="shared" si="418"/>
        <v>04</v>
      </c>
      <c r="AF1408" t="s">
        <v>40</v>
      </c>
    </row>
    <row r="1409" spans="1:32" x14ac:dyDescent="0.25">
      <c r="A1409">
        <v>5</v>
      </c>
      <c r="B1409">
        <v>420</v>
      </c>
      <c r="C1409" t="str">
        <f>"11"</f>
        <v>11</v>
      </c>
      <c r="D1409">
        <v>6399</v>
      </c>
      <c r="E1409" t="str">
        <f t="shared" si="423"/>
        <v>00</v>
      </c>
      <c r="F1409" t="str">
        <f>"041"</f>
        <v>041</v>
      </c>
      <c r="G1409">
        <v>5</v>
      </c>
      <c r="H1409" t="str">
        <f>"11"</f>
        <v>11</v>
      </c>
      <c r="I1409" t="str">
        <f t="shared" si="404"/>
        <v>0</v>
      </c>
      <c r="J1409" t="str">
        <f t="shared" si="419"/>
        <v>00</v>
      </c>
      <c r="K1409">
        <v>20150423</v>
      </c>
      <c r="L1409" t="str">
        <f t="shared" si="424"/>
        <v>014921</v>
      </c>
      <c r="M1409" t="str">
        <f t="shared" si="425"/>
        <v>00015</v>
      </c>
      <c r="N1409" t="s">
        <v>44</v>
      </c>
      <c r="O1409">
        <v>600</v>
      </c>
      <c r="Q1409" t="s">
        <v>33</v>
      </c>
      <c r="R1409" t="s">
        <v>34</v>
      </c>
      <c r="S1409" t="s">
        <v>35</v>
      </c>
      <c r="T1409" t="s">
        <v>35</v>
      </c>
      <c r="U1409" t="s">
        <v>34</v>
      </c>
      <c r="V1409" t="str">
        <f>""</f>
        <v/>
      </c>
      <c r="W1409">
        <v>20150422</v>
      </c>
      <c r="X1409" t="s">
        <v>241</v>
      </c>
      <c r="Y1409" t="s">
        <v>771</v>
      </c>
      <c r="Z1409" t="s">
        <v>771</v>
      </c>
      <c r="AA1409">
        <v>0</v>
      </c>
      <c r="AB1409" t="s">
        <v>142</v>
      </c>
      <c r="AC1409" t="s">
        <v>41</v>
      </c>
      <c r="AD1409" t="s">
        <v>40</v>
      </c>
      <c r="AE1409" t="str">
        <f t="shared" si="418"/>
        <v>04</v>
      </c>
      <c r="AF1409" t="s">
        <v>40</v>
      </c>
    </row>
    <row r="1410" spans="1:32" x14ac:dyDescent="0.25">
      <c r="A1410">
        <v>5</v>
      </c>
      <c r="B1410">
        <v>420</v>
      </c>
      <c r="C1410" t="str">
        <f>"11"</f>
        <v>11</v>
      </c>
      <c r="D1410">
        <v>6399</v>
      </c>
      <c r="E1410" t="str">
        <f t="shared" si="423"/>
        <v>00</v>
      </c>
      <c r="F1410" t="str">
        <f>"101"</f>
        <v>101</v>
      </c>
      <c r="G1410">
        <v>5</v>
      </c>
      <c r="H1410" t="str">
        <f>"11"</f>
        <v>11</v>
      </c>
      <c r="I1410" t="str">
        <f t="shared" ref="I1410:I1473" si="426">"0"</f>
        <v>0</v>
      </c>
      <c r="J1410" t="str">
        <f t="shared" si="419"/>
        <v>00</v>
      </c>
      <c r="K1410">
        <v>20150423</v>
      </c>
      <c r="L1410" t="str">
        <f t="shared" si="424"/>
        <v>014921</v>
      </c>
      <c r="M1410" t="str">
        <f t="shared" si="425"/>
        <v>00015</v>
      </c>
      <c r="N1410" t="s">
        <v>44</v>
      </c>
      <c r="O1410">
        <v>95.98</v>
      </c>
      <c r="Q1410" t="s">
        <v>33</v>
      </c>
      <c r="R1410" t="s">
        <v>34</v>
      </c>
      <c r="S1410" t="s">
        <v>35</v>
      </c>
      <c r="T1410" t="s">
        <v>35</v>
      </c>
      <c r="U1410" t="s">
        <v>34</v>
      </c>
      <c r="V1410" t="str">
        <f>""</f>
        <v/>
      </c>
      <c r="W1410">
        <v>20150422</v>
      </c>
      <c r="X1410" t="s">
        <v>246</v>
      </c>
      <c r="Y1410" t="s">
        <v>815</v>
      </c>
      <c r="Z1410" t="s">
        <v>815</v>
      </c>
      <c r="AA1410">
        <v>0</v>
      </c>
      <c r="AB1410" t="s">
        <v>142</v>
      </c>
      <c r="AC1410" t="s">
        <v>41</v>
      </c>
      <c r="AD1410" t="s">
        <v>40</v>
      </c>
      <c r="AE1410" t="str">
        <f t="shared" ref="AE1410:AE1441" si="427">"04"</f>
        <v>04</v>
      </c>
      <c r="AF1410" t="s">
        <v>40</v>
      </c>
    </row>
    <row r="1411" spans="1:32" x14ac:dyDescent="0.25">
      <c r="A1411">
        <v>5</v>
      </c>
      <c r="B1411">
        <v>420</v>
      </c>
      <c r="C1411" t="str">
        <f>"51"</f>
        <v>51</v>
      </c>
      <c r="D1411">
        <v>6269</v>
      </c>
      <c r="E1411" t="str">
        <f t="shared" si="423"/>
        <v>00</v>
      </c>
      <c r="F1411" t="str">
        <f>"999"</f>
        <v>999</v>
      </c>
      <c r="G1411">
        <v>5</v>
      </c>
      <c r="H1411" t="str">
        <f>"99"</f>
        <v>99</v>
      </c>
      <c r="I1411" t="str">
        <f t="shared" si="426"/>
        <v>0</v>
      </c>
      <c r="J1411" t="str">
        <f t="shared" si="419"/>
        <v>00</v>
      </c>
      <c r="K1411">
        <v>20150423</v>
      </c>
      <c r="L1411" t="str">
        <f t="shared" si="424"/>
        <v>014921</v>
      </c>
      <c r="M1411" t="str">
        <f t="shared" si="425"/>
        <v>00015</v>
      </c>
      <c r="N1411" t="s">
        <v>44</v>
      </c>
      <c r="O1411">
        <v>99</v>
      </c>
      <c r="Q1411" t="s">
        <v>33</v>
      </c>
      <c r="R1411" t="s">
        <v>34</v>
      </c>
      <c r="S1411" t="s">
        <v>35</v>
      </c>
      <c r="T1411" t="s">
        <v>35</v>
      </c>
      <c r="U1411" t="s">
        <v>34</v>
      </c>
      <c r="V1411" t="str">
        <f>""</f>
        <v/>
      </c>
      <c r="W1411">
        <v>20150422</v>
      </c>
      <c r="X1411" t="s">
        <v>225</v>
      </c>
      <c r="Y1411" t="s">
        <v>525</v>
      </c>
      <c r="Z1411" t="s">
        <v>525</v>
      </c>
      <c r="AA1411">
        <v>0</v>
      </c>
      <c r="AB1411" t="s">
        <v>142</v>
      </c>
      <c r="AC1411" t="s">
        <v>143</v>
      </c>
      <c r="AD1411" t="s">
        <v>40</v>
      </c>
      <c r="AE1411" t="str">
        <f t="shared" si="427"/>
        <v>04</v>
      </c>
      <c r="AF1411" t="s">
        <v>40</v>
      </c>
    </row>
    <row r="1412" spans="1:32" x14ac:dyDescent="0.25">
      <c r="A1412">
        <v>5</v>
      </c>
      <c r="B1412">
        <v>420</v>
      </c>
      <c r="C1412" t="str">
        <f>"51"</f>
        <v>51</v>
      </c>
      <c r="D1412">
        <v>6319</v>
      </c>
      <c r="E1412" t="str">
        <f t="shared" si="423"/>
        <v>00</v>
      </c>
      <c r="F1412" t="str">
        <f>"999"</f>
        <v>999</v>
      </c>
      <c r="G1412">
        <v>5</v>
      </c>
      <c r="H1412" t="str">
        <f>"99"</f>
        <v>99</v>
      </c>
      <c r="I1412" t="str">
        <f t="shared" si="426"/>
        <v>0</v>
      </c>
      <c r="J1412" t="str">
        <f t="shared" si="419"/>
        <v>00</v>
      </c>
      <c r="K1412">
        <v>20150423</v>
      </c>
      <c r="L1412" t="str">
        <f t="shared" si="424"/>
        <v>014921</v>
      </c>
      <c r="M1412" t="str">
        <f t="shared" si="425"/>
        <v>00015</v>
      </c>
      <c r="N1412" t="s">
        <v>44</v>
      </c>
      <c r="O1412">
        <v>21.36</v>
      </c>
      <c r="Q1412" t="s">
        <v>33</v>
      </c>
      <c r="R1412" t="s">
        <v>34</v>
      </c>
      <c r="S1412" t="s">
        <v>35</v>
      </c>
      <c r="T1412" t="s">
        <v>35</v>
      </c>
      <c r="U1412" t="s">
        <v>34</v>
      </c>
      <c r="V1412" t="str">
        <f>""</f>
        <v/>
      </c>
      <c r="W1412">
        <v>20150422</v>
      </c>
      <c r="X1412" t="s">
        <v>185</v>
      </c>
      <c r="Y1412" t="s">
        <v>816</v>
      </c>
      <c r="Z1412" t="s">
        <v>816</v>
      </c>
      <c r="AA1412">
        <v>0</v>
      </c>
      <c r="AB1412" t="s">
        <v>142</v>
      </c>
      <c r="AC1412" t="s">
        <v>143</v>
      </c>
      <c r="AD1412" t="s">
        <v>40</v>
      </c>
      <c r="AE1412" t="str">
        <f t="shared" si="427"/>
        <v>04</v>
      </c>
      <c r="AF1412" t="s">
        <v>40</v>
      </c>
    </row>
    <row r="1413" spans="1:32" x14ac:dyDescent="0.25">
      <c r="A1413">
        <v>5</v>
      </c>
      <c r="B1413">
        <v>420</v>
      </c>
      <c r="C1413" t="str">
        <f>"51"</f>
        <v>51</v>
      </c>
      <c r="D1413">
        <v>6319</v>
      </c>
      <c r="E1413" t="str">
        <f t="shared" si="423"/>
        <v>00</v>
      </c>
      <c r="F1413" t="str">
        <f>"999"</f>
        <v>999</v>
      </c>
      <c r="G1413">
        <v>5</v>
      </c>
      <c r="H1413" t="str">
        <f>"99"</f>
        <v>99</v>
      </c>
      <c r="I1413" t="str">
        <f t="shared" si="426"/>
        <v>0</v>
      </c>
      <c r="J1413" t="str">
        <f t="shared" si="419"/>
        <v>00</v>
      </c>
      <c r="K1413">
        <v>20150423</v>
      </c>
      <c r="L1413" t="str">
        <f t="shared" si="424"/>
        <v>014921</v>
      </c>
      <c r="M1413" t="str">
        <f t="shared" si="425"/>
        <v>00015</v>
      </c>
      <c r="N1413" t="s">
        <v>44</v>
      </c>
      <c r="O1413">
        <v>112.59</v>
      </c>
      <c r="Q1413" t="s">
        <v>33</v>
      </c>
      <c r="R1413" t="s">
        <v>34</v>
      </c>
      <c r="S1413" t="s">
        <v>35</v>
      </c>
      <c r="T1413" t="s">
        <v>35</v>
      </c>
      <c r="U1413" t="s">
        <v>34</v>
      </c>
      <c r="V1413" t="str">
        <f>""</f>
        <v/>
      </c>
      <c r="W1413">
        <v>20150422</v>
      </c>
      <c r="X1413" t="s">
        <v>185</v>
      </c>
      <c r="Y1413" t="s">
        <v>817</v>
      </c>
      <c r="Z1413" t="s">
        <v>817</v>
      </c>
      <c r="AA1413">
        <v>0</v>
      </c>
      <c r="AB1413" t="s">
        <v>142</v>
      </c>
      <c r="AC1413" t="s">
        <v>143</v>
      </c>
      <c r="AD1413" t="s">
        <v>40</v>
      </c>
      <c r="AE1413" t="str">
        <f t="shared" si="427"/>
        <v>04</v>
      </c>
      <c r="AF1413" t="s">
        <v>40</v>
      </c>
    </row>
    <row r="1414" spans="1:32" x14ac:dyDescent="0.25">
      <c r="A1414">
        <v>5</v>
      </c>
      <c r="B1414">
        <v>420</v>
      </c>
      <c r="C1414" t="str">
        <f>"51"</f>
        <v>51</v>
      </c>
      <c r="D1414">
        <v>6319</v>
      </c>
      <c r="E1414" t="str">
        <f t="shared" si="423"/>
        <v>00</v>
      </c>
      <c r="F1414" t="str">
        <f>"999"</f>
        <v>999</v>
      </c>
      <c r="G1414">
        <v>5</v>
      </c>
      <c r="H1414" t="str">
        <f>"99"</f>
        <v>99</v>
      </c>
      <c r="I1414" t="str">
        <f t="shared" si="426"/>
        <v>0</v>
      </c>
      <c r="J1414" t="str">
        <f t="shared" si="419"/>
        <v>00</v>
      </c>
      <c r="K1414">
        <v>20150423</v>
      </c>
      <c r="L1414" t="str">
        <f t="shared" si="424"/>
        <v>014921</v>
      </c>
      <c r="M1414" t="str">
        <f t="shared" si="425"/>
        <v>00015</v>
      </c>
      <c r="N1414" t="s">
        <v>44</v>
      </c>
      <c r="O1414">
        <v>58.11</v>
      </c>
      <c r="Q1414" t="s">
        <v>33</v>
      </c>
      <c r="R1414" t="s">
        <v>34</v>
      </c>
      <c r="S1414" t="s">
        <v>35</v>
      </c>
      <c r="T1414" t="s">
        <v>35</v>
      </c>
      <c r="U1414" t="s">
        <v>34</v>
      </c>
      <c r="V1414" t="str">
        <f>""</f>
        <v/>
      </c>
      <c r="W1414">
        <v>20150422</v>
      </c>
      <c r="X1414" t="s">
        <v>185</v>
      </c>
      <c r="Y1414" t="s">
        <v>818</v>
      </c>
      <c r="Z1414" t="s">
        <v>818</v>
      </c>
      <c r="AA1414">
        <v>0</v>
      </c>
      <c r="AB1414" t="s">
        <v>142</v>
      </c>
      <c r="AC1414" t="s">
        <v>143</v>
      </c>
      <c r="AD1414" t="s">
        <v>40</v>
      </c>
      <c r="AE1414" t="str">
        <f t="shared" si="427"/>
        <v>04</v>
      </c>
      <c r="AF1414" t="s">
        <v>40</v>
      </c>
    </row>
    <row r="1415" spans="1:32" x14ac:dyDescent="0.25">
      <c r="A1415">
        <v>5</v>
      </c>
      <c r="B1415">
        <v>420</v>
      </c>
      <c r="C1415" t="str">
        <f>"52"</f>
        <v>52</v>
      </c>
      <c r="D1415">
        <v>6399</v>
      </c>
      <c r="E1415" t="str">
        <f t="shared" si="423"/>
        <v>00</v>
      </c>
      <c r="F1415" t="str">
        <f>"999"</f>
        <v>999</v>
      </c>
      <c r="G1415">
        <v>5</v>
      </c>
      <c r="H1415" t="str">
        <f>"99"</f>
        <v>99</v>
      </c>
      <c r="I1415" t="str">
        <f t="shared" si="426"/>
        <v>0</v>
      </c>
      <c r="J1415" t="str">
        <f t="shared" si="419"/>
        <v>00</v>
      </c>
      <c r="K1415">
        <v>20150423</v>
      </c>
      <c r="L1415" t="str">
        <f t="shared" si="424"/>
        <v>014921</v>
      </c>
      <c r="M1415" t="str">
        <f t="shared" si="425"/>
        <v>00015</v>
      </c>
      <c r="N1415" t="s">
        <v>44</v>
      </c>
      <c r="O1415">
        <v>150</v>
      </c>
      <c r="Q1415" t="s">
        <v>33</v>
      </c>
      <c r="R1415" t="s">
        <v>34</v>
      </c>
      <c r="S1415" t="s">
        <v>35</v>
      </c>
      <c r="T1415" t="s">
        <v>35</v>
      </c>
      <c r="U1415" t="s">
        <v>34</v>
      </c>
      <c r="V1415" t="str">
        <f>""</f>
        <v/>
      </c>
      <c r="W1415">
        <v>20150422</v>
      </c>
      <c r="X1415" t="s">
        <v>436</v>
      </c>
      <c r="Y1415" t="s">
        <v>743</v>
      </c>
      <c r="Z1415" t="s">
        <v>743</v>
      </c>
      <c r="AA1415">
        <v>0</v>
      </c>
      <c r="AB1415" t="s">
        <v>142</v>
      </c>
      <c r="AC1415" t="s">
        <v>143</v>
      </c>
      <c r="AD1415" t="s">
        <v>40</v>
      </c>
      <c r="AE1415" t="str">
        <f t="shared" si="427"/>
        <v>04</v>
      </c>
      <c r="AF1415" t="s">
        <v>40</v>
      </c>
    </row>
    <row r="1416" spans="1:32" x14ac:dyDescent="0.25">
      <c r="A1416">
        <v>5</v>
      </c>
      <c r="B1416">
        <v>420</v>
      </c>
      <c r="C1416" t="str">
        <f t="shared" ref="C1416:C1425" si="428">"11"</f>
        <v>11</v>
      </c>
      <c r="D1416">
        <v>6399</v>
      </c>
      <c r="E1416" t="str">
        <f t="shared" si="423"/>
        <v>00</v>
      </c>
      <c r="F1416" t="str">
        <f>"001"</f>
        <v>001</v>
      </c>
      <c r="G1416">
        <v>5</v>
      </c>
      <c r="H1416" t="str">
        <f t="shared" ref="H1416:H1425" si="429">"11"</f>
        <v>11</v>
      </c>
      <c r="I1416" t="str">
        <f t="shared" si="426"/>
        <v>0</v>
      </c>
      <c r="J1416" t="str">
        <f t="shared" ref="J1416:J1425" si="430">"22"</f>
        <v>22</v>
      </c>
      <c r="K1416">
        <v>20150423</v>
      </c>
      <c r="L1416" t="str">
        <f t="shared" ref="L1416:L1425" si="431">"014922"</f>
        <v>014922</v>
      </c>
      <c r="M1416" t="str">
        <f t="shared" ref="M1416:M1425" si="432">"00103"</f>
        <v>00103</v>
      </c>
      <c r="N1416" t="s">
        <v>506</v>
      </c>
      <c r="O1416">
        <v>18.309999999999999</v>
      </c>
      <c r="Q1416" t="s">
        <v>33</v>
      </c>
      <c r="R1416" t="s">
        <v>34</v>
      </c>
      <c r="S1416" t="s">
        <v>35</v>
      </c>
      <c r="T1416" t="s">
        <v>35</v>
      </c>
      <c r="U1416" t="s">
        <v>34</v>
      </c>
      <c r="V1416" t="str">
        <f>""</f>
        <v/>
      </c>
      <c r="W1416">
        <v>20150422</v>
      </c>
      <c r="X1416" t="s">
        <v>507</v>
      </c>
      <c r="Y1416" t="s">
        <v>796</v>
      </c>
      <c r="Z1416" t="s">
        <v>796</v>
      </c>
      <c r="AA1416">
        <v>0</v>
      </c>
      <c r="AB1416" t="s">
        <v>142</v>
      </c>
      <c r="AC1416" t="s">
        <v>41</v>
      </c>
      <c r="AD1416" t="s">
        <v>40</v>
      </c>
      <c r="AE1416" t="str">
        <f t="shared" si="427"/>
        <v>04</v>
      </c>
      <c r="AF1416" t="s">
        <v>40</v>
      </c>
    </row>
    <row r="1417" spans="1:32" x14ac:dyDescent="0.25">
      <c r="A1417">
        <v>5</v>
      </c>
      <c r="B1417">
        <v>420</v>
      </c>
      <c r="C1417" t="str">
        <f t="shared" si="428"/>
        <v>11</v>
      </c>
      <c r="D1417">
        <v>6399</v>
      </c>
      <c r="E1417" t="str">
        <f t="shared" si="423"/>
        <v>00</v>
      </c>
      <c r="F1417" t="str">
        <f>"001"</f>
        <v>001</v>
      </c>
      <c r="G1417">
        <v>5</v>
      </c>
      <c r="H1417" t="str">
        <f t="shared" si="429"/>
        <v>11</v>
      </c>
      <c r="I1417" t="str">
        <f t="shared" si="426"/>
        <v>0</v>
      </c>
      <c r="J1417" t="str">
        <f t="shared" si="430"/>
        <v>22</v>
      </c>
      <c r="K1417">
        <v>20150423</v>
      </c>
      <c r="L1417" t="str">
        <f t="shared" si="431"/>
        <v>014922</v>
      </c>
      <c r="M1417" t="str">
        <f t="shared" si="432"/>
        <v>00103</v>
      </c>
      <c r="N1417" t="s">
        <v>506</v>
      </c>
      <c r="O1417">
        <v>7.94</v>
      </c>
      <c r="Q1417" t="s">
        <v>33</v>
      </c>
      <c r="R1417" t="s">
        <v>34</v>
      </c>
      <c r="S1417" t="s">
        <v>35</v>
      </c>
      <c r="T1417" t="s">
        <v>35</v>
      </c>
      <c r="U1417" t="s">
        <v>34</v>
      </c>
      <c r="V1417" t="str">
        <f>""</f>
        <v/>
      </c>
      <c r="W1417">
        <v>20150422</v>
      </c>
      <c r="X1417" t="s">
        <v>507</v>
      </c>
      <c r="Y1417" t="s">
        <v>796</v>
      </c>
      <c r="Z1417" t="s">
        <v>796</v>
      </c>
      <c r="AA1417">
        <v>0</v>
      </c>
      <c r="AB1417" t="s">
        <v>142</v>
      </c>
      <c r="AC1417" t="s">
        <v>41</v>
      </c>
      <c r="AD1417" t="s">
        <v>40</v>
      </c>
      <c r="AE1417" t="str">
        <f t="shared" si="427"/>
        <v>04</v>
      </c>
      <c r="AF1417" t="s">
        <v>40</v>
      </c>
    </row>
    <row r="1418" spans="1:32" x14ac:dyDescent="0.25">
      <c r="A1418">
        <v>5</v>
      </c>
      <c r="B1418">
        <v>420</v>
      </c>
      <c r="C1418" t="str">
        <f t="shared" si="428"/>
        <v>11</v>
      </c>
      <c r="D1418">
        <v>6399</v>
      </c>
      <c r="E1418" t="str">
        <f t="shared" si="423"/>
        <v>00</v>
      </c>
      <c r="F1418" t="str">
        <f>"001"</f>
        <v>001</v>
      </c>
      <c r="G1418">
        <v>5</v>
      </c>
      <c r="H1418" t="str">
        <f t="shared" si="429"/>
        <v>11</v>
      </c>
      <c r="I1418" t="str">
        <f t="shared" si="426"/>
        <v>0</v>
      </c>
      <c r="J1418" t="str">
        <f t="shared" si="430"/>
        <v>22</v>
      </c>
      <c r="K1418">
        <v>20150423</v>
      </c>
      <c r="L1418" t="str">
        <f t="shared" si="431"/>
        <v>014922</v>
      </c>
      <c r="M1418" t="str">
        <f t="shared" si="432"/>
        <v>00103</v>
      </c>
      <c r="N1418" t="s">
        <v>506</v>
      </c>
      <c r="O1418">
        <v>491.6</v>
      </c>
      <c r="Q1418" t="s">
        <v>33</v>
      </c>
      <c r="R1418" t="s">
        <v>34</v>
      </c>
      <c r="S1418" t="s">
        <v>35</v>
      </c>
      <c r="T1418" t="s">
        <v>35</v>
      </c>
      <c r="U1418" t="s">
        <v>34</v>
      </c>
      <c r="V1418" t="str">
        <f>""</f>
        <v/>
      </c>
      <c r="W1418">
        <v>20150422</v>
      </c>
      <c r="X1418" t="s">
        <v>507</v>
      </c>
      <c r="Y1418" t="s">
        <v>796</v>
      </c>
      <c r="Z1418" t="s">
        <v>796</v>
      </c>
      <c r="AA1418">
        <v>0</v>
      </c>
      <c r="AB1418" t="s">
        <v>142</v>
      </c>
      <c r="AC1418" t="s">
        <v>41</v>
      </c>
      <c r="AD1418" t="s">
        <v>40</v>
      </c>
      <c r="AE1418" t="str">
        <f t="shared" si="427"/>
        <v>04</v>
      </c>
      <c r="AF1418" t="s">
        <v>40</v>
      </c>
    </row>
    <row r="1419" spans="1:32" x14ac:dyDescent="0.25">
      <c r="A1419">
        <v>5</v>
      </c>
      <c r="B1419">
        <v>420</v>
      </c>
      <c r="C1419" t="str">
        <f t="shared" si="428"/>
        <v>11</v>
      </c>
      <c r="D1419">
        <v>6399</v>
      </c>
      <c r="E1419" t="str">
        <f t="shared" si="423"/>
        <v>00</v>
      </c>
      <c r="F1419" t="str">
        <f>"041"</f>
        <v>041</v>
      </c>
      <c r="G1419">
        <v>5</v>
      </c>
      <c r="H1419" t="str">
        <f t="shared" si="429"/>
        <v>11</v>
      </c>
      <c r="I1419" t="str">
        <f t="shared" si="426"/>
        <v>0</v>
      </c>
      <c r="J1419" t="str">
        <f t="shared" si="430"/>
        <v>22</v>
      </c>
      <c r="K1419">
        <v>20150423</v>
      </c>
      <c r="L1419" t="str">
        <f t="shared" si="431"/>
        <v>014922</v>
      </c>
      <c r="M1419" t="str">
        <f t="shared" si="432"/>
        <v>00103</v>
      </c>
      <c r="N1419" t="s">
        <v>506</v>
      </c>
      <c r="O1419">
        <v>18.309999999999999</v>
      </c>
      <c r="Q1419" t="s">
        <v>33</v>
      </c>
      <c r="R1419" t="s">
        <v>34</v>
      </c>
      <c r="S1419" t="s">
        <v>35</v>
      </c>
      <c r="T1419" t="s">
        <v>35</v>
      </c>
      <c r="U1419" t="s">
        <v>34</v>
      </c>
      <c r="V1419" t="str">
        <f>""</f>
        <v/>
      </c>
      <c r="W1419">
        <v>20150422</v>
      </c>
      <c r="X1419" t="s">
        <v>509</v>
      </c>
      <c r="Y1419" t="s">
        <v>796</v>
      </c>
      <c r="Z1419" t="s">
        <v>796</v>
      </c>
      <c r="AA1419">
        <v>0</v>
      </c>
      <c r="AB1419" t="s">
        <v>142</v>
      </c>
      <c r="AC1419" t="s">
        <v>41</v>
      </c>
      <c r="AD1419" t="s">
        <v>40</v>
      </c>
      <c r="AE1419" t="str">
        <f t="shared" si="427"/>
        <v>04</v>
      </c>
      <c r="AF1419" t="s">
        <v>40</v>
      </c>
    </row>
    <row r="1420" spans="1:32" x14ac:dyDescent="0.25">
      <c r="A1420">
        <v>5</v>
      </c>
      <c r="B1420">
        <v>420</v>
      </c>
      <c r="C1420" t="str">
        <f t="shared" si="428"/>
        <v>11</v>
      </c>
      <c r="D1420">
        <v>6399</v>
      </c>
      <c r="E1420" t="str">
        <f t="shared" si="423"/>
        <v>00</v>
      </c>
      <c r="F1420" t="str">
        <f>"041"</f>
        <v>041</v>
      </c>
      <c r="G1420">
        <v>5</v>
      </c>
      <c r="H1420" t="str">
        <f t="shared" si="429"/>
        <v>11</v>
      </c>
      <c r="I1420" t="str">
        <f t="shared" si="426"/>
        <v>0</v>
      </c>
      <c r="J1420" t="str">
        <f t="shared" si="430"/>
        <v>22</v>
      </c>
      <c r="K1420">
        <v>20150423</v>
      </c>
      <c r="L1420" t="str">
        <f t="shared" si="431"/>
        <v>014922</v>
      </c>
      <c r="M1420" t="str">
        <f t="shared" si="432"/>
        <v>00103</v>
      </c>
      <c r="N1420" t="s">
        <v>506</v>
      </c>
      <c r="O1420">
        <v>7.94</v>
      </c>
      <c r="Q1420" t="s">
        <v>33</v>
      </c>
      <c r="R1420" t="s">
        <v>34</v>
      </c>
      <c r="S1420" t="s">
        <v>35</v>
      </c>
      <c r="T1420" t="s">
        <v>35</v>
      </c>
      <c r="U1420" t="s">
        <v>34</v>
      </c>
      <c r="V1420" t="str">
        <f>""</f>
        <v/>
      </c>
      <c r="W1420">
        <v>20150422</v>
      </c>
      <c r="X1420" t="s">
        <v>509</v>
      </c>
      <c r="Y1420" t="s">
        <v>796</v>
      </c>
      <c r="Z1420" t="s">
        <v>796</v>
      </c>
      <c r="AA1420">
        <v>0</v>
      </c>
      <c r="AB1420" t="s">
        <v>142</v>
      </c>
      <c r="AC1420" t="s">
        <v>41</v>
      </c>
      <c r="AD1420" t="s">
        <v>40</v>
      </c>
      <c r="AE1420" t="str">
        <f t="shared" si="427"/>
        <v>04</v>
      </c>
      <c r="AF1420" t="s">
        <v>40</v>
      </c>
    </row>
    <row r="1421" spans="1:32" x14ac:dyDescent="0.25">
      <c r="A1421">
        <v>5</v>
      </c>
      <c r="B1421">
        <v>420</v>
      </c>
      <c r="C1421" t="str">
        <f t="shared" si="428"/>
        <v>11</v>
      </c>
      <c r="D1421">
        <v>6399</v>
      </c>
      <c r="E1421" t="str">
        <f t="shared" si="423"/>
        <v>00</v>
      </c>
      <c r="F1421" t="str">
        <f>"041"</f>
        <v>041</v>
      </c>
      <c r="G1421">
        <v>5</v>
      </c>
      <c r="H1421" t="str">
        <f t="shared" si="429"/>
        <v>11</v>
      </c>
      <c r="I1421" t="str">
        <f t="shared" si="426"/>
        <v>0</v>
      </c>
      <c r="J1421" t="str">
        <f t="shared" si="430"/>
        <v>22</v>
      </c>
      <c r="K1421">
        <v>20150423</v>
      </c>
      <c r="L1421" t="str">
        <f t="shared" si="431"/>
        <v>014922</v>
      </c>
      <c r="M1421" t="str">
        <f t="shared" si="432"/>
        <v>00103</v>
      </c>
      <c r="N1421" t="s">
        <v>506</v>
      </c>
      <c r="O1421">
        <v>491.6</v>
      </c>
      <c r="Q1421" t="s">
        <v>33</v>
      </c>
      <c r="R1421" t="s">
        <v>34</v>
      </c>
      <c r="S1421" t="s">
        <v>35</v>
      </c>
      <c r="T1421" t="s">
        <v>35</v>
      </c>
      <c r="U1421" t="s">
        <v>34</v>
      </c>
      <c r="V1421" t="str">
        <f>""</f>
        <v/>
      </c>
      <c r="W1421">
        <v>20150422</v>
      </c>
      <c r="X1421" t="s">
        <v>509</v>
      </c>
      <c r="Y1421" t="s">
        <v>796</v>
      </c>
      <c r="Z1421" t="s">
        <v>796</v>
      </c>
      <c r="AA1421">
        <v>0</v>
      </c>
      <c r="AB1421" t="s">
        <v>142</v>
      </c>
      <c r="AC1421" t="s">
        <v>41</v>
      </c>
      <c r="AD1421" t="s">
        <v>40</v>
      </c>
      <c r="AE1421" t="str">
        <f t="shared" si="427"/>
        <v>04</v>
      </c>
      <c r="AF1421" t="s">
        <v>40</v>
      </c>
    </row>
    <row r="1422" spans="1:32" x14ac:dyDescent="0.25">
      <c r="A1422">
        <v>5</v>
      </c>
      <c r="B1422">
        <v>420</v>
      </c>
      <c r="C1422" t="str">
        <f t="shared" si="428"/>
        <v>11</v>
      </c>
      <c r="D1422">
        <v>6399</v>
      </c>
      <c r="E1422" t="str">
        <f t="shared" si="423"/>
        <v>00</v>
      </c>
      <c r="F1422" t="str">
        <f>"101"</f>
        <v>101</v>
      </c>
      <c r="G1422">
        <v>5</v>
      </c>
      <c r="H1422" t="str">
        <f t="shared" si="429"/>
        <v>11</v>
      </c>
      <c r="I1422" t="str">
        <f t="shared" si="426"/>
        <v>0</v>
      </c>
      <c r="J1422" t="str">
        <f t="shared" si="430"/>
        <v>22</v>
      </c>
      <c r="K1422">
        <v>20150423</v>
      </c>
      <c r="L1422" t="str">
        <f t="shared" si="431"/>
        <v>014922</v>
      </c>
      <c r="M1422" t="str">
        <f t="shared" si="432"/>
        <v>00103</v>
      </c>
      <c r="N1422" t="s">
        <v>506</v>
      </c>
      <c r="O1422">
        <v>77.81</v>
      </c>
      <c r="Q1422" t="s">
        <v>33</v>
      </c>
      <c r="R1422" t="s">
        <v>34</v>
      </c>
      <c r="S1422" t="s">
        <v>35</v>
      </c>
      <c r="T1422" t="s">
        <v>35</v>
      </c>
      <c r="U1422" t="s">
        <v>34</v>
      </c>
      <c r="V1422" t="str">
        <f>""</f>
        <v/>
      </c>
      <c r="W1422">
        <v>20150422</v>
      </c>
      <c r="X1422" t="s">
        <v>510</v>
      </c>
      <c r="Y1422" t="s">
        <v>796</v>
      </c>
      <c r="Z1422" t="s">
        <v>796</v>
      </c>
      <c r="AA1422">
        <v>0</v>
      </c>
      <c r="AB1422" t="s">
        <v>142</v>
      </c>
      <c r="AC1422" t="s">
        <v>41</v>
      </c>
      <c r="AD1422" t="s">
        <v>40</v>
      </c>
      <c r="AE1422" t="str">
        <f t="shared" si="427"/>
        <v>04</v>
      </c>
      <c r="AF1422" t="s">
        <v>40</v>
      </c>
    </row>
    <row r="1423" spans="1:32" x14ac:dyDescent="0.25">
      <c r="A1423">
        <v>5</v>
      </c>
      <c r="B1423">
        <v>420</v>
      </c>
      <c r="C1423" t="str">
        <f t="shared" si="428"/>
        <v>11</v>
      </c>
      <c r="D1423">
        <v>6399</v>
      </c>
      <c r="E1423" t="str">
        <f t="shared" si="423"/>
        <v>00</v>
      </c>
      <c r="F1423" t="str">
        <f>"101"</f>
        <v>101</v>
      </c>
      <c r="G1423">
        <v>5</v>
      </c>
      <c r="H1423" t="str">
        <f t="shared" si="429"/>
        <v>11</v>
      </c>
      <c r="I1423" t="str">
        <f t="shared" si="426"/>
        <v>0</v>
      </c>
      <c r="J1423" t="str">
        <f t="shared" si="430"/>
        <v>22</v>
      </c>
      <c r="K1423">
        <v>20150423</v>
      </c>
      <c r="L1423" t="str">
        <f t="shared" si="431"/>
        <v>014922</v>
      </c>
      <c r="M1423" t="str">
        <f t="shared" si="432"/>
        <v>00103</v>
      </c>
      <c r="N1423" t="s">
        <v>506</v>
      </c>
      <c r="O1423">
        <v>33.729999999999997</v>
      </c>
      <c r="Q1423" t="s">
        <v>33</v>
      </c>
      <c r="R1423" t="s">
        <v>34</v>
      </c>
      <c r="S1423" t="s">
        <v>35</v>
      </c>
      <c r="T1423" t="s">
        <v>35</v>
      </c>
      <c r="U1423" t="s">
        <v>34</v>
      </c>
      <c r="V1423" t="str">
        <f>""</f>
        <v/>
      </c>
      <c r="W1423">
        <v>20150422</v>
      </c>
      <c r="X1423" t="s">
        <v>510</v>
      </c>
      <c r="Y1423" t="s">
        <v>796</v>
      </c>
      <c r="Z1423" t="s">
        <v>796</v>
      </c>
      <c r="AA1423">
        <v>0</v>
      </c>
      <c r="AB1423" t="s">
        <v>142</v>
      </c>
      <c r="AC1423" t="s">
        <v>41</v>
      </c>
      <c r="AD1423" t="s">
        <v>40</v>
      </c>
      <c r="AE1423" t="str">
        <f t="shared" si="427"/>
        <v>04</v>
      </c>
      <c r="AF1423" t="s">
        <v>40</v>
      </c>
    </row>
    <row r="1424" spans="1:32" x14ac:dyDescent="0.25">
      <c r="A1424">
        <v>5</v>
      </c>
      <c r="B1424">
        <v>420</v>
      </c>
      <c r="C1424" t="str">
        <f t="shared" si="428"/>
        <v>11</v>
      </c>
      <c r="D1424">
        <v>6399</v>
      </c>
      <c r="E1424" t="str">
        <f t="shared" si="423"/>
        <v>00</v>
      </c>
      <c r="F1424" t="str">
        <f>"101"</f>
        <v>101</v>
      </c>
      <c r="G1424">
        <v>5</v>
      </c>
      <c r="H1424" t="str">
        <f t="shared" si="429"/>
        <v>11</v>
      </c>
      <c r="I1424" t="str">
        <f t="shared" si="426"/>
        <v>0</v>
      </c>
      <c r="J1424" t="str">
        <f t="shared" si="430"/>
        <v>22</v>
      </c>
      <c r="K1424">
        <v>20150423</v>
      </c>
      <c r="L1424" t="str">
        <f t="shared" si="431"/>
        <v>014922</v>
      </c>
      <c r="M1424" t="str">
        <f t="shared" si="432"/>
        <v>00103</v>
      </c>
      <c r="N1424" t="s">
        <v>506</v>
      </c>
      <c r="O1424" s="1">
        <v>2089.3000000000002</v>
      </c>
      <c r="Q1424" t="s">
        <v>33</v>
      </c>
      <c r="R1424" t="s">
        <v>34</v>
      </c>
      <c r="S1424" t="s">
        <v>35</v>
      </c>
      <c r="T1424" t="s">
        <v>35</v>
      </c>
      <c r="U1424" t="s">
        <v>34</v>
      </c>
      <c r="V1424" t="str">
        <f>""</f>
        <v/>
      </c>
      <c r="W1424">
        <v>20150423</v>
      </c>
      <c r="X1424" t="s">
        <v>510</v>
      </c>
      <c r="Y1424" t="s">
        <v>796</v>
      </c>
      <c r="Z1424" t="s">
        <v>796</v>
      </c>
      <c r="AA1424">
        <v>0</v>
      </c>
      <c r="AB1424" t="s">
        <v>142</v>
      </c>
      <c r="AC1424" t="s">
        <v>41</v>
      </c>
      <c r="AD1424" t="s">
        <v>40</v>
      </c>
      <c r="AE1424" t="str">
        <f t="shared" si="427"/>
        <v>04</v>
      </c>
      <c r="AF1424" t="s">
        <v>40</v>
      </c>
    </row>
    <row r="1425" spans="1:32" x14ac:dyDescent="0.25">
      <c r="A1425">
        <v>5</v>
      </c>
      <c r="B1425">
        <v>420</v>
      </c>
      <c r="C1425" t="str">
        <f t="shared" si="428"/>
        <v>11</v>
      </c>
      <c r="D1425">
        <v>6399</v>
      </c>
      <c r="E1425" t="str">
        <f t="shared" si="423"/>
        <v>00</v>
      </c>
      <c r="F1425" t="str">
        <f>"101"</f>
        <v>101</v>
      </c>
      <c r="G1425">
        <v>5</v>
      </c>
      <c r="H1425" t="str">
        <f t="shared" si="429"/>
        <v>11</v>
      </c>
      <c r="I1425" t="str">
        <f t="shared" si="426"/>
        <v>0</v>
      </c>
      <c r="J1425" t="str">
        <f t="shared" si="430"/>
        <v>22</v>
      </c>
      <c r="K1425">
        <v>20150423</v>
      </c>
      <c r="L1425" t="str">
        <f t="shared" si="431"/>
        <v>014922</v>
      </c>
      <c r="M1425" t="str">
        <f t="shared" si="432"/>
        <v>00103</v>
      </c>
      <c r="N1425" t="s">
        <v>506</v>
      </c>
      <c r="O1425">
        <v>-10.91</v>
      </c>
      <c r="Q1425" t="s">
        <v>33</v>
      </c>
      <c r="R1425" t="s">
        <v>34</v>
      </c>
      <c r="S1425" t="s">
        <v>35</v>
      </c>
      <c r="T1425" t="s">
        <v>35</v>
      </c>
      <c r="U1425" t="s">
        <v>34</v>
      </c>
      <c r="V1425" t="s">
        <v>110</v>
      </c>
      <c r="W1425">
        <v>20150422</v>
      </c>
      <c r="X1425" t="s">
        <v>510</v>
      </c>
      <c r="Y1425" t="s">
        <v>819</v>
      </c>
      <c r="Z1425" t="s">
        <v>819</v>
      </c>
      <c r="AA1425">
        <v>0</v>
      </c>
      <c r="AB1425" t="s">
        <v>142</v>
      </c>
      <c r="AC1425" t="s">
        <v>41</v>
      </c>
      <c r="AD1425" t="s">
        <v>112</v>
      </c>
      <c r="AE1425" t="str">
        <f t="shared" si="427"/>
        <v>04</v>
      </c>
      <c r="AF1425" t="s">
        <v>40</v>
      </c>
    </row>
    <row r="1426" spans="1:32" x14ac:dyDescent="0.25">
      <c r="A1426">
        <v>5</v>
      </c>
      <c r="B1426">
        <v>240</v>
      </c>
      <c r="C1426" t="str">
        <f>"35"</f>
        <v>35</v>
      </c>
      <c r="D1426">
        <v>6341</v>
      </c>
      <c r="E1426" t="str">
        <f t="shared" si="423"/>
        <v>00</v>
      </c>
      <c r="F1426" t="str">
        <f>"999"</f>
        <v>999</v>
      </c>
      <c r="G1426">
        <v>5</v>
      </c>
      <c r="H1426" t="str">
        <f>"99"</f>
        <v>99</v>
      </c>
      <c r="I1426" t="str">
        <f t="shared" si="426"/>
        <v>0</v>
      </c>
      <c r="J1426" t="str">
        <f t="shared" ref="J1426:J1472" si="433">"00"</f>
        <v>00</v>
      </c>
      <c r="K1426">
        <v>20150423</v>
      </c>
      <c r="L1426" t="str">
        <f>"014923"</f>
        <v>014923</v>
      </c>
      <c r="M1426" t="str">
        <f>"00048"</f>
        <v>00048</v>
      </c>
      <c r="N1426" t="s">
        <v>647</v>
      </c>
      <c r="O1426">
        <v>86.76</v>
      </c>
      <c r="Q1426" t="s">
        <v>33</v>
      </c>
      <c r="R1426" t="s">
        <v>34</v>
      </c>
      <c r="S1426" t="s">
        <v>35</v>
      </c>
      <c r="T1426" t="s">
        <v>35</v>
      </c>
      <c r="U1426" t="s">
        <v>34</v>
      </c>
      <c r="V1426" t="str">
        <f>""</f>
        <v/>
      </c>
      <c r="W1426">
        <v>20150423</v>
      </c>
      <c r="X1426" t="s">
        <v>268</v>
      </c>
      <c r="Y1426" t="s">
        <v>310</v>
      </c>
      <c r="Z1426" t="s">
        <v>310</v>
      </c>
      <c r="AA1426">
        <v>0</v>
      </c>
      <c r="AB1426" t="s">
        <v>238</v>
      </c>
      <c r="AC1426" t="s">
        <v>143</v>
      </c>
      <c r="AD1426" t="s">
        <v>40</v>
      </c>
      <c r="AE1426" t="str">
        <f t="shared" si="427"/>
        <v>04</v>
      </c>
      <c r="AF1426" t="s">
        <v>40</v>
      </c>
    </row>
    <row r="1427" spans="1:32" x14ac:dyDescent="0.25">
      <c r="A1427">
        <v>5</v>
      </c>
      <c r="B1427">
        <v>263</v>
      </c>
      <c r="C1427" t="str">
        <f>"11"</f>
        <v>11</v>
      </c>
      <c r="D1427">
        <v>6399</v>
      </c>
      <c r="E1427" t="str">
        <f t="shared" si="423"/>
        <v>00</v>
      </c>
      <c r="F1427" t="str">
        <f>"999"</f>
        <v>999</v>
      </c>
      <c r="G1427">
        <v>5</v>
      </c>
      <c r="H1427" t="str">
        <f>"25"</f>
        <v>25</v>
      </c>
      <c r="I1427" t="str">
        <f t="shared" si="426"/>
        <v>0</v>
      </c>
      <c r="J1427" t="str">
        <f t="shared" si="433"/>
        <v>00</v>
      </c>
      <c r="K1427">
        <v>20150423</v>
      </c>
      <c r="L1427" t="str">
        <f>"014924"</f>
        <v>014924</v>
      </c>
      <c r="M1427" t="str">
        <f>"00527"</f>
        <v>00527</v>
      </c>
      <c r="N1427" t="s">
        <v>651</v>
      </c>
      <c r="O1427">
        <v>61.6</v>
      </c>
      <c r="Q1427" t="s">
        <v>33</v>
      </c>
      <c r="R1427" t="s">
        <v>34</v>
      </c>
      <c r="S1427" t="s">
        <v>35</v>
      </c>
      <c r="T1427" t="s">
        <v>35</v>
      </c>
      <c r="U1427" t="s">
        <v>34</v>
      </c>
      <c r="V1427" t="str">
        <f>""</f>
        <v/>
      </c>
      <c r="W1427">
        <v>20150422</v>
      </c>
      <c r="X1427" t="s">
        <v>722</v>
      </c>
      <c r="Y1427" t="s">
        <v>723</v>
      </c>
      <c r="Z1427" t="s">
        <v>723</v>
      </c>
      <c r="AA1427">
        <v>0</v>
      </c>
      <c r="AB1427" t="s">
        <v>197</v>
      </c>
      <c r="AC1427" t="s">
        <v>143</v>
      </c>
      <c r="AD1427" t="s">
        <v>40</v>
      </c>
      <c r="AE1427" t="str">
        <f t="shared" si="427"/>
        <v>04</v>
      </c>
      <c r="AF1427" t="s">
        <v>40</v>
      </c>
    </row>
    <row r="1428" spans="1:32" x14ac:dyDescent="0.25">
      <c r="A1428">
        <v>5</v>
      </c>
      <c r="B1428">
        <v>420</v>
      </c>
      <c r="C1428" t="str">
        <f>"36"</f>
        <v>36</v>
      </c>
      <c r="D1428">
        <v>6399</v>
      </c>
      <c r="E1428" t="str">
        <f t="shared" si="423"/>
        <v>00</v>
      </c>
      <c r="F1428" t="str">
        <f>"001"</f>
        <v>001</v>
      </c>
      <c r="G1428">
        <v>5</v>
      </c>
      <c r="H1428" t="str">
        <f>"91"</f>
        <v>91</v>
      </c>
      <c r="I1428" t="str">
        <f t="shared" si="426"/>
        <v>0</v>
      </c>
      <c r="J1428" t="str">
        <f t="shared" si="433"/>
        <v>00</v>
      </c>
      <c r="K1428">
        <v>20150423</v>
      </c>
      <c r="L1428" t="str">
        <f>"014925"</f>
        <v>014925</v>
      </c>
      <c r="M1428" t="str">
        <f>"00836"</f>
        <v>00836</v>
      </c>
      <c r="N1428" t="s">
        <v>820</v>
      </c>
      <c r="O1428">
        <v>600</v>
      </c>
      <c r="Q1428" t="s">
        <v>33</v>
      </c>
      <c r="R1428" t="s">
        <v>34</v>
      </c>
      <c r="S1428" t="s">
        <v>35</v>
      </c>
      <c r="T1428" t="s">
        <v>35</v>
      </c>
      <c r="U1428" t="s">
        <v>34</v>
      </c>
      <c r="V1428" t="str">
        <f>""</f>
        <v/>
      </c>
      <c r="W1428">
        <v>20150422</v>
      </c>
      <c r="X1428" t="s">
        <v>599</v>
      </c>
      <c r="Y1428" t="s">
        <v>821</v>
      </c>
      <c r="Z1428" t="s">
        <v>821</v>
      </c>
      <c r="AA1428">
        <v>0</v>
      </c>
      <c r="AB1428" t="s">
        <v>142</v>
      </c>
      <c r="AC1428" t="s">
        <v>41</v>
      </c>
      <c r="AD1428" t="s">
        <v>40</v>
      </c>
      <c r="AE1428" t="str">
        <f t="shared" si="427"/>
        <v>04</v>
      </c>
      <c r="AF1428" t="s">
        <v>40</v>
      </c>
    </row>
    <row r="1429" spans="1:32" x14ac:dyDescent="0.25">
      <c r="A1429">
        <v>5</v>
      </c>
      <c r="B1429">
        <v>420</v>
      </c>
      <c r="C1429" t="str">
        <f>"36"</f>
        <v>36</v>
      </c>
      <c r="D1429">
        <v>6499</v>
      </c>
      <c r="E1429" t="str">
        <f t="shared" si="423"/>
        <v>00</v>
      </c>
      <c r="F1429" t="str">
        <f>"001"</f>
        <v>001</v>
      </c>
      <c r="G1429">
        <v>5</v>
      </c>
      <c r="H1429" t="str">
        <f>"91"</f>
        <v>91</v>
      </c>
      <c r="I1429" t="str">
        <f t="shared" si="426"/>
        <v>0</v>
      </c>
      <c r="J1429" t="str">
        <f t="shared" si="433"/>
        <v>00</v>
      </c>
      <c r="K1429">
        <v>20150423</v>
      </c>
      <c r="L1429" t="str">
        <f>"014925"</f>
        <v>014925</v>
      </c>
      <c r="M1429" t="str">
        <f>"00836"</f>
        <v>00836</v>
      </c>
      <c r="N1429" t="s">
        <v>820</v>
      </c>
      <c r="O1429">
        <v>880</v>
      </c>
      <c r="Q1429" t="s">
        <v>33</v>
      </c>
      <c r="R1429" t="s">
        <v>34</v>
      </c>
      <c r="S1429" t="s">
        <v>35</v>
      </c>
      <c r="T1429" t="s">
        <v>35</v>
      </c>
      <c r="U1429" t="s">
        <v>34</v>
      </c>
      <c r="V1429" t="str">
        <f>""</f>
        <v/>
      </c>
      <c r="W1429">
        <v>20150422</v>
      </c>
      <c r="X1429" t="s">
        <v>275</v>
      </c>
      <c r="Y1429" t="s">
        <v>340</v>
      </c>
      <c r="Z1429" t="s">
        <v>340</v>
      </c>
      <c r="AA1429">
        <v>0</v>
      </c>
      <c r="AB1429" t="s">
        <v>142</v>
      </c>
      <c r="AC1429" t="s">
        <v>41</v>
      </c>
      <c r="AD1429" t="s">
        <v>40</v>
      </c>
      <c r="AE1429" t="str">
        <f t="shared" si="427"/>
        <v>04</v>
      </c>
      <c r="AF1429" t="s">
        <v>40</v>
      </c>
    </row>
    <row r="1430" spans="1:32" x14ac:dyDescent="0.25">
      <c r="A1430">
        <v>5</v>
      </c>
      <c r="B1430">
        <v>420</v>
      </c>
      <c r="C1430" t="str">
        <f>"36"</f>
        <v>36</v>
      </c>
      <c r="D1430">
        <v>6219</v>
      </c>
      <c r="E1430" t="str">
        <f t="shared" si="423"/>
        <v>00</v>
      </c>
      <c r="F1430" t="str">
        <f t="shared" ref="F1430:F1453" si="434">"999"</f>
        <v>999</v>
      </c>
      <c r="G1430">
        <v>5</v>
      </c>
      <c r="H1430" t="str">
        <f>"91"</f>
        <v>91</v>
      </c>
      <c r="I1430" t="str">
        <f t="shared" si="426"/>
        <v>0</v>
      </c>
      <c r="J1430" t="str">
        <f t="shared" si="433"/>
        <v>00</v>
      </c>
      <c r="K1430">
        <v>20150423</v>
      </c>
      <c r="L1430" t="str">
        <f>"014926"</f>
        <v>014926</v>
      </c>
      <c r="M1430" t="str">
        <f>"00849"</f>
        <v>00849</v>
      </c>
      <c r="N1430" t="s">
        <v>822</v>
      </c>
      <c r="O1430">
        <v>86.12</v>
      </c>
      <c r="Q1430" t="s">
        <v>33</v>
      </c>
      <c r="R1430" t="s">
        <v>34</v>
      </c>
      <c r="S1430" t="s">
        <v>35</v>
      </c>
      <c r="T1430" t="s">
        <v>35</v>
      </c>
      <c r="U1430" t="s">
        <v>34</v>
      </c>
      <c r="V1430" t="str">
        <f>""</f>
        <v/>
      </c>
      <c r="W1430">
        <v>20150423</v>
      </c>
      <c r="X1430" t="s">
        <v>186</v>
      </c>
      <c r="Y1430" t="s">
        <v>793</v>
      </c>
      <c r="Z1430" t="s">
        <v>793</v>
      </c>
      <c r="AA1430">
        <v>0</v>
      </c>
      <c r="AB1430" t="s">
        <v>142</v>
      </c>
      <c r="AC1430" t="s">
        <v>143</v>
      </c>
      <c r="AD1430" t="s">
        <v>40</v>
      </c>
      <c r="AE1430" t="str">
        <f t="shared" si="427"/>
        <v>04</v>
      </c>
      <c r="AF1430" t="s">
        <v>40</v>
      </c>
    </row>
    <row r="1431" spans="1:32" x14ac:dyDescent="0.25">
      <c r="A1431">
        <v>5</v>
      </c>
      <c r="B1431">
        <v>420</v>
      </c>
      <c r="C1431" t="str">
        <f>"51"</f>
        <v>51</v>
      </c>
      <c r="D1431">
        <v>6319</v>
      </c>
      <c r="E1431" t="str">
        <f t="shared" si="423"/>
        <v>00</v>
      </c>
      <c r="F1431" t="str">
        <f t="shared" si="434"/>
        <v>999</v>
      </c>
      <c r="G1431">
        <v>5</v>
      </c>
      <c r="H1431" t="str">
        <f>"99"</f>
        <v>99</v>
      </c>
      <c r="I1431" t="str">
        <f t="shared" si="426"/>
        <v>0</v>
      </c>
      <c r="J1431" t="str">
        <f t="shared" si="433"/>
        <v>00</v>
      </c>
      <c r="K1431">
        <v>20150423</v>
      </c>
      <c r="L1431" t="str">
        <f>"014927"</f>
        <v>014927</v>
      </c>
      <c r="M1431" t="str">
        <f>"00152"</f>
        <v>00152</v>
      </c>
      <c r="N1431" t="s">
        <v>413</v>
      </c>
      <c r="O1431">
        <v>46.32</v>
      </c>
      <c r="Q1431" t="s">
        <v>33</v>
      </c>
      <c r="R1431" t="s">
        <v>34</v>
      </c>
      <c r="S1431" t="s">
        <v>35</v>
      </c>
      <c r="T1431" t="s">
        <v>35</v>
      </c>
      <c r="U1431" t="s">
        <v>34</v>
      </c>
      <c r="V1431" t="str">
        <f>""</f>
        <v/>
      </c>
      <c r="W1431">
        <v>20150416</v>
      </c>
      <c r="X1431" t="s">
        <v>185</v>
      </c>
      <c r="Y1431" t="s">
        <v>823</v>
      </c>
      <c r="Z1431" t="s">
        <v>823</v>
      </c>
      <c r="AA1431">
        <v>0</v>
      </c>
      <c r="AB1431" t="s">
        <v>142</v>
      </c>
      <c r="AC1431" t="s">
        <v>143</v>
      </c>
      <c r="AD1431" t="s">
        <v>40</v>
      </c>
      <c r="AE1431" t="str">
        <f t="shared" si="427"/>
        <v>04</v>
      </c>
      <c r="AF1431" t="s">
        <v>40</v>
      </c>
    </row>
    <row r="1432" spans="1:32" x14ac:dyDescent="0.25">
      <c r="A1432">
        <v>5</v>
      </c>
      <c r="B1432">
        <v>420</v>
      </c>
      <c r="C1432" t="str">
        <f>"51"</f>
        <v>51</v>
      </c>
      <c r="D1432">
        <v>6319</v>
      </c>
      <c r="E1432" t="str">
        <f t="shared" ref="E1432:E1463" si="435">"00"</f>
        <v>00</v>
      </c>
      <c r="F1432" t="str">
        <f t="shared" si="434"/>
        <v>999</v>
      </c>
      <c r="G1432">
        <v>5</v>
      </c>
      <c r="H1432" t="str">
        <f>"99"</f>
        <v>99</v>
      </c>
      <c r="I1432" t="str">
        <f t="shared" si="426"/>
        <v>0</v>
      </c>
      <c r="J1432" t="str">
        <f t="shared" si="433"/>
        <v>00</v>
      </c>
      <c r="K1432">
        <v>20150423</v>
      </c>
      <c r="L1432" t="str">
        <f>"014927"</f>
        <v>014927</v>
      </c>
      <c r="M1432" t="str">
        <f>"00152"</f>
        <v>00152</v>
      </c>
      <c r="N1432" t="s">
        <v>413</v>
      </c>
      <c r="O1432">
        <v>12.18</v>
      </c>
      <c r="Q1432" t="s">
        <v>33</v>
      </c>
      <c r="R1432" t="s">
        <v>34</v>
      </c>
      <c r="S1432" t="s">
        <v>35</v>
      </c>
      <c r="T1432" t="s">
        <v>35</v>
      </c>
      <c r="U1432" t="s">
        <v>34</v>
      </c>
      <c r="V1432" t="str">
        <f>""</f>
        <v/>
      </c>
      <c r="W1432">
        <v>20150416</v>
      </c>
      <c r="X1432" t="s">
        <v>185</v>
      </c>
      <c r="Y1432" t="s">
        <v>823</v>
      </c>
      <c r="Z1432" t="s">
        <v>823</v>
      </c>
      <c r="AA1432">
        <v>0</v>
      </c>
      <c r="AB1432" t="s">
        <v>142</v>
      </c>
      <c r="AC1432" t="s">
        <v>143</v>
      </c>
      <c r="AD1432" t="s">
        <v>40</v>
      </c>
      <c r="AE1432" t="str">
        <f t="shared" si="427"/>
        <v>04</v>
      </c>
      <c r="AF1432" t="s">
        <v>40</v>
      </c>
    </row>
    <row r="1433" spans="1:32" x14ac:dyDescent="0.25">
      <c r="A1433">
        <v>5</v>
      </c>
      <c r="B1433">
        <v>420</v>
      </c>
      <c r="C1433" t="str">
        <f>"51"</f>
        <v>51</v>
      </c>
      <c r="D1433">
        <v>6319</v>
      </c>
      <c r="E1433" t="str">
        <f t="shared" si="435"/>
        <v>00</v>
      </c>
      <c r="F1433" t="str">
        <f t="shared" si="434"/>
        <v>999</v>
      </c>
      <c r="G1433">
        <v>5</v>
      </c>
      <c r="H1433" t="str">
        <f>"99"</f>
        <v>99</v>
      </c>
      <c r="I1433" t="str">
        <f t="shared" si="426"/>
        <v>0</v>
      </c>
      <c r="J1433" t="str">
        <f t="shared" si="433"/>
        <v>00</v>
      </c>
      <c r="K1433">
        <v>20150423</v>
      </c>
      <c r="L1433" t="str">
        <f>"014927"</f>
        <v>014927</v>
      </c>
      <c r="M1433" t="str">
        <f>"00152"</f>
        <v>00152</v>
      </c>
      <c r="N1433" t="s">
        <v>413</v>
      </c>
      <c r="O1433">
        <v>334.51</v>
      </c>
      <c r="Q1433" t="s">
        <v>33</v>
      </c>
      <c r="R1433" t="s">
        <v>34</v>
      </c>
      <c r="S1433" t="s">
        <v>35</v>
      </c>
      <c r="T1433" t="s">
        <v>35</v>
      </c>
      <c r="U1433" t="s">
        <v>34</v>
      </c>
      <c r="V1433" t="str">
        <f>""</f>
        <v/>
      </c>
      <c r="W1433">
        <v>20150416</v>
      </c>
      <c r="X1433" t="s">
        <v>185</v>
      </c>
      <c r="Y1433" t="s">
        <v>824</v>
      </c>
      <c r="Z1433" t="s">
        <v>824</v>
      </c>
      <c r="AA1433">
        <v>0</v>
      </c>
      <c r="AB1433" t="s">
        <v>142</v>
      </c>
      <c r="AC1433" t="s">
        <v>143</v>
      </c>
      <c r="AD1433" t="s">
        <v>40</v>
      </c>
      <c r="AE1433" t="str">
        <f t="shared" si="427"/>
        <v>04</v>
      </c>
      <c r="AF1433" t="s">
        <v>40</v>
      </c>
    </row>
    <row r="1434" spans="1:32" x14ac:dyDescent="0.25">
      <c r="A1434">
        <v>5</v>
      </c>
      <c r="B1434">
        <v>420</v>
      </c>
      <c r="C1434" t="str">
        <f>"51"</f>
        <v>51</v>
      </c>
      <c r="D1434">
        <v>6319</v>
      </c>
      <c r="E1434" t="str">
        <f t="shared" si="435"/>
        <v>00</v>
      </c>
      <c r="F1434" t="str">
        <f t="shared" si="434"/>
        <v>999</v>
      </c>
      <c r="G1434">
        <v>5</v>
      </c>
      <c r="H1434" t="str">
        <f>"99"</f>
        <v>99</v>
      </c>
      <c r="I1434" t="str">
        <f t="shared" si="426"/>
        <v>0</v>
      </c>
      <c r="J1434" t="str">
        <f t="shared" si="433"/>
        <v>00</v>
      </c>
      <c r="K1434">
        <v>20150423</v>
      </c>
      <c r="L1434" t="str">
        <f>"014927"</f>
        <v>014927</v>
      </c>
      <c r="M1434" t="str">
        <f>"00152"</f>
        <v>00152</v>
      </c>
      <c r="N1434" t="s">
        <v>413</v>
      </c>
      <c r="O1434">
        <v>218.1</v>
      </c>
      <c r="Q1434" t="s">
        <v>33</v>
      </c>
      <c r="R1434" t="s">
        <v>34</v>
      </c>
      <c r="S1434" t="s">
        <v>35</v>
      </c>
      <c r="T1434" t="s">
        <v>35</v>
      </c>
      <c r="U1434" t="s">
        <v>34</v>
      </c>
      <c r="V1434" t="str">
        <f>""</f>
        <v/>
      </c>
      <c r="W1434">
        <v>20150416</v>
      </c>
      <c r="X1434" t="s">
        <v>185</v>
      </c>
      <c r="Y1434" t="s">
        <v>825</v>
      </c>
      <c r="Z1434" t="s">
        <v>825</v>
      </c>
      <c r="AA1434">
        <v>0</v>
      </c>
      <c r="AB1434" t="s">
        <v>142</v>
      </c>
      <c r="AC1434" t="s">
        <v>143</v>
      </c>
      <c r="AD1434" t="s">
        <v>40</v>
      </c>
      <c r="AE1434" t="str">
        <f t="shared" si="427"/>
        <v>04</v>
      </c>
      <c r="AF1434" t="s">
        <v>40</v>
      </c>
    </row>
    <row r="1435" spans="1:32" x14ac:dyDescent="0.25">
      <c r="A1435">
        <v>5</v>
      </c>
      <c r="B1435">
        <v>420</v>
      </c>
      <c r="C1435" t="str">
        <f>"51"</f>
        <v>51</v>
      </c>
      <c r="D1435">
        <v>6319</v>
      </c>
      <c r="E1435" t="str">
        <f t="shared" si="435"/>
        <v>00</v>
      </c>
      <c r="F1435" t="str">
        <f t="shared" si="434"/>
        <v>999</v>
      </c>
      <c r="G1435">
        <v>5</v>
      </c>
      <c r="H1435" t="str">
        <f>"99"</f>
        <v>99</v>
      </c>
      <c r="I1435" t="str">
        <f t="shared" si="426"/>
        <v>0</v>
      </c>
      <c r="J1435" t="str">
        <f t="shared" si="433"/>
        <v>00</v>
      </c>
      <c r="K1435">
        <v>20150423</v>
      </c>
      <c r="L1435" t="str">
        <f>"014927"</f>
        <v>014927</v>
      </c>
      <c r="M1435" t="str">
        <f>"00152"</f>
        <v>00152</v>
      </c>
      <c r="N1435" t="s">
        <v>413</v>
      </c>
      <c r="O1435">
        <v>28.55</v>
      </c>
      <c r="Q1435" t="s">
        <v>33</v>
      </c>
      <c r="R1435" t="s">
        <v>34</v>
      </c>
      <c r="S1435" t="s">
        <v>35</v>
      </c>
      <c r="T1435" t="s">
        <v>35</v>
      </c>
      <c r="U1435" t="s">
        <v>34</v>
      </c>
      <c r="V1435" t="str">
        <f>""</f>
        <v/>
      </c>
      <c r="W1435">
        <v>20150416</v>
      </c>
      <c r="X1435" t="s">
        <v>185</v>
      </c>
      <c r="Y1435" t="s">
        <v>826</v>
      </c>
      <c r="Z1435" t="s">
        <v>826</v>
      </c>
      <c r="AA1435">
        <v>0</v>
      </c>
      <c r="AB1435" t="s">
        <v>142</v>
      </c>
      <c r="AC1435" t="s">
        <v>143</v>
      </c>
      <c r="AD1435" t="s">
        <v>40</v>
      </c>
      <c r="AE1435" t="str">
        <f t="shared" si="427"/>
        <v>04</v>
      </c>
      <c r="AF1435" t="s">
        <v>40</v>
      </c>
    </row>
    <row r="1436" spans="1:32" x14ac:dyDescent="0.25">
      <c r="A1436">
        <v>5</v>
      </c>
      <c r="B1436">
        <v>420</v>
      </c>
      <c r="C1436" t="str">
        <f>"36"</f>
        <v>36</v>
      </c>
      <c r="D1436">
        <v>6219</v>
      </c>
      <c r="E1436" t="str">
        <f t="shared" si="435"/>
        <v>00</v>
      </c>
      <c r="F1436" t="str">
        <f t="shared" si="434"/>
        <v>999</v>
      </c>
      <c r="G1436">
        <v>5</v>
      </c>
      <c r="H1436" t="str">
        <f>"91"</f>
        <v>91</v>
      </c>
      <c r="I1436" t="str">
        <f t="shared" si="426"/>
        <v>0</v>
      </c>
      <c r="J1436" t="str">
        <f t="shared" si="433"/>
        <v>00</v>
      </c>
      <c r="K1436">
        <v>20150423</v>
      </c>
      <c r="L1436" t="str">
        <f>"014928"</f>
        <v>014928</v>
      </c>
      <c r="M1436" t="str">
        <f>"00851"</f>
        <v>00851</v>
      </c>
      <c r="N1436" t="s">
        <v>827</v>
      </c>
      <c r="O1436">
        <v>67</v>
      </c>
      <c r="Q1436" t="s">
        <v>33</v>
      </c>
      <c r="R1436" t="s">
        <v>34</v>
      </c>
      <c r="S1436" t="s">
        <v>35</v>
      </c>
      <c r="T1436" t="s">
        <v>35</v>
      </c>
      <c r="U1436" t="s">
        <v>34</v>
      </c>
      <c r="V1436" t="str">
        <f>""</f>
        <v/>
      </c>
      <c r="W1436">
        <v>20150423</v>
      </c>
      <c r="X1436" t="s">
        <v>186</v>
      </c>
      <c r="Y1436" t="s">
        <v>793</v>
      </c>
      <c r="Z1436" t="s">
        <v>793</v>
      </c>
      <c r="AA1436">
        <v>0</v>
      </c>
      <c r="AB1436" t="s">
        <v>142</v>
      </c>
      <c r="AC1436" t="s">
        <v>143</v>
      </c>
      <c r="AD1436" t="s">
        <v>40</v>
      </c>
      <c r="AE1436" t="str">
        <f t="shared" si="427"/>
        <v>04</v>
      </c>
      <c r="AF1436" t="s">
        <v>40</v>
      </c>
    </row>
    <row r="1437" spans="1:32" x14ac:dyDescent="0.25">
      <c r="A1437">
        <v>5</v>
      </c>
      <c r="B1437">
        <v>420</v>
      </c>
      <c r="C1437" t="str">
        <f>"11"</f>
        <v>11</v>
      </c>
      <c r="D1437">
        <v>6399</v>
      </c>
      <c r="E1437" t="str">
        <f t="shared" si="435"/>
        <v>00</v>
      </c>
      <c r="F1437" t="str">
        <f t="shared" si="434"/>
        <v>999</v>
      </c>
      <c r="G1437">
        <v>5</v>
      </c>
      <c r="H1437" t="str">
        <f>"11"</f>
        <v>11</v>
      </c>
      <c r="I1437" t="str">
        <f t="shared" si="426"/>
        <v>0</v>
      </c>
      <c r="J1437" t="str">
        <f t="shared" si="433"/>
        <v>00</v>
      </c>
      <c r="K1437">
        <v>20150423</v>
      </c>
      <c r="L1437" t="str">
        <f>"014929"</f>
        <v>014929</v>
      </c>
      <c r="M1437" t="str">
        <f>"00196"</f>
        <v>00196</v>
      </c>
      <c r="N1437" t="s">
        <v>654</v>
      </c>
      <c r="O1437">
        <v>44.26</v>
      </c>
      <c r="Q1437" t="s">
        <v>33</v>
      </c>
      <c r="R1437" t="s">
        <v>34</v>
      </c>
      <c r="S1437" t="s">
        <v>35</v>
      </c>
      <c r="T1437" t="s">
        <v>35</v>
      </c>
      <c r="U1437" t="s">
        <v>34</v>
      </c>
      <c r="V1437" t="str">
        <f>""</f>
        <v/>
      </c>
      <c r="W1437">
        <v>20150422</v>
      </c>
      <c r="X1437" t="s">
        <v>385</v>
      </c>
      <c r="Y1437" t="s">
        <v>655</v>
      </c>
      <c r="Z1437" t="s">
        <v>655</v>
      </c>
      <c r="AA1437">
        <v>0</v>
      </c>
      <c r="AB1437" t="s">
        <v>142</v>
      </c>
      <c r="AC1437" t="s">
        <v>143</v>
      </c>
      <c r="AD1437" t="s">
        <v>40</v>
      </c>
      <c r="AE1437" t="str">
        <f t="shared" si="427"/>
        <v>04</v>
      </c>
      <c r="AF1437" t="s">
        <v>40</v>
      </c>
    </row>
    <row r="1438" spans="1:32" x14ac:dyDescent="0.25">
      <c r="A1438">
        <v>5</v>
      </c>
      <c r="B1438">
        <v>420</v>
      </c>
      <c r="C1438" t="str">
        <f>"36"</f>
        <v>36</v>
      </c>
      <c r="D1438">
        <v>6219</v>
      </c>
      <c r="E1438" t="str">
        <f t="shared" si="435"/>
        <v>00</v>
      </c>
      <c r="F1438" t="str">
        <f t="shared" si="434"/>
        <v>999</v>
      </c>
      <c r="G1438">
        <v>5</v>
      </c>
      <c r="H1438" t="str">
        <f>"91"</f>
        <v>91</v>
      </c>
      <c r="I1438" t="str">
        <f t="shared" si="426"/>
        <v>0</v>
      </c>
      <c r="J1438" t="str">
        <f t="shared" si="433"/>
        <v>00</v>
      </c>
      <c r="K1438">
        <v>20150423</v>
      </c>
      <c r="L1438" t="str">
        <f>"014930"</f>
        <v>014930</v>
      </c>
      <c r="M1438" t="str">
        <f>"00843"</f>
        <v>00843</v>
      </c>
      <c r="N1438" t="s">
        <v>803</v>
      </c>
      <c r="O1438">
        <v>67</v>
      </c>
      <c r="Q1438" t="s">
        <v>33</v>
      </c>
      <c r="R1438" t="s">
        <v>34</v>
      </c>
      <c r="S1438" t="s">
        <v>35</v>
      </c>
      <c r="T1438" t="s">
        <v>35</v>
      </c>
      <c r="U1438" t="s">
        <v>34</v>
      </c>
      <c r="V1438" t="str">
        <f>""</f>
        <v/>
      </c>
      <c r="W1438">
        <v>20150423</v>
      </c>
      <c r="X1438" t="s">
        <v>186</v>
      </c>
      <c r="Y1438" t="s">
        <v>793</v>
      </c>
      <c r="Z1438" t="s">
        <v>793</v>
      </c>
      <c r="AA1438">
        <v>0</v>
      </c>
      <c r="AB1438" t="s">
        <v>142</v>
      </c>
      <c r="AC1438" t="s">
        <v>143</v>
      </c>
      <c r="AD1438" t="s">
        <v>40</v>
      </c>
      <c r="AE1438" t="str">
        <f t="shared" si="427"/>
        <v>04</v>
      </c>
      <c r="AF1438" t="s">
        <v>40</v>
      </c>
    </row>
    <row r="1439" spans="1:32" x14ac:dyDescent="0.25">
      <c r="A1439">
        <v>5</v>
      </c>
      <c r="B1439">
        <v>420</v>
      </c>
      <c r="C1439" t="str">
        <f>"36"</f>
        <v>36</v>
      </c>
      <c r="D1439">
        <v>6219</v>
      </c>
      <c r="E1439" t="str">
        <f t="shared" si="435"/>
        <v>00</v>
      </c>
      <c r="F1439" t="str">
        <f t="shared" si="434"/>
        <v>999</v>
      </c>
      <c r="G1439">
        <v>5</v>
      </c>
      <c r="H1439" t="str">
        <f>"91"</f>
        <v>91</v>
      </c>
      <c r="I1439" t="str">
        <f t="shared" si="426"/>
        <v>0</v>
      </c>
      <c r="J1439" t="str">
        <f t="shared" si="433"/>
        <v>00</v>
      </c>
      <c r="K1439">
        <v>20150423</v>
      </c>
      <c r="L1439" t="str">
        <f>"014931"</f>
        <v>014931</v>
      </c>
      <c r="M1439" t="str">
        <f>"00852"</f>
        <v>00852</v>
      </c>
      <c r="N1439" t="s">
        <v>828</v>
      </c>
      <c r="O1439">
        <v>67</v>
      </c>
      <c r="Q1439" t="s">
        <v>33</v>
      </c>
      <c r="R1439" t="s">
        <v>34</v>
      </c>
      <c r="S1439" t="s">
        <v>35</v>
      </c>
      <c r="T1439" t="s">
        <v>35</v>
      </c>
      <c r="U1439" t="s">
        <v>34</v>
      </c>
      <c r="V1439" t="str">
        <f>""</f>
        <v/>
      </c>
      <c r="W1439">
        <v>20150423</v>
      </c>
      <c r="X1439" t="s">
        <v>186</v>
      </c>
      <c r="Y1439" t="s">
        <v>793</v>
      </c>
      <c r="Z1439" t="s">
        <v>793</v>
      </c>
      <c r="AA1439">
        <v>0</v>
      </c>
      <c r="AB1439" t="s">
        <v>142</v>
      </c>
      <c r="AC1439" t="s">
        <v>143</v>
      </c>
      <c r="AD1439" t="s">
        <v>40</v>
      </c>
      <c r="AE1439" t="str">
        <f t="shared" si="427"/>
        <v>04</v>
      </c>
      <c r="AF1439" t="s">
        <v>40</v>
      </c>
    </row>
    <row r="1440" spans="1:32" x14ac:dyDescent="0.25">
      <c r="A1440">
        <v>5</v>
      </c>
      <c r="B1440">
        <v>420</v>
      </c>
      <c r="C1440" t="str">
        <f>"36"</f>
        <v>36</v>
      </c>
      <c r="D1440">
        <v>6219</v>
      </c>
      <c r="E1440" t="str">
        <f t="shared" si="435"/>
        <v>00</v>
      </c>
      <c r="F1440" t="str">
        <f t="shared" si="434"/>
        <v>999</v>
      </c>
      <c r="G1440">
        <v>5</v>
      </c>
      <c r="H1440" t="str">
        <f>"91"</f>
        <v>91</v>
      </c>
      <c r="I1440" t="str">
        <f t="shared" si="426"/>
        <v>0</v>
      </c>
      <c r="J1440" t="str">
        <f t="shared" si="433"/>
        <v>00</v>
      </c>
      <c r="K1440">
        <v>20150423</v>
      </c>
      <c r="L1440" t="str">
        <f>"014932"</f>
        <v>014932</v>
      </c>
      <c r="M1440" t="str">
        <f>"00850"</f>
        <v>00850</v>
      </c>
      <c r="N1440" t="s">
        <v>829</v>
      </c>
      <c r="O1440">
        <v>93.2</v>
      </c>
      <c r="Q1440" t="s">
        <v>33</v>
      </c>
      <c r="R1440" t="s">
        <v>34</v>
      </c>
      <c r="S1440" t="s">
        <v>35</v>
      </c>
      <c r="T1440" t="s">
        <v>35</v>
      </c>
      <c r="U1440" t="s">
        <v>34</v>
      </c>
      <c r="V1440" t="str">
        <f>""</f>
        <v/>
      </c>
      <c r="W1440">
        <v>20150423</v>
      </c>
      <c r="X1440" t="s">
        <v>186</v>
      </c>
      <c r="Y1440" t="s">
        <v>793</v>
      </c>
      <c r="Z1440" t="s">
        <v>793</v>
      </c>
      <c r="AA1440">
        <v>0</v>
      </c>
      <c r="AB1440" t="s">
        <v>142</v>
      </c>
      <c r="AC1440" t="s">
        <v>143</v>
      </c>
      <c r="AD1440" t="s">
        <v>40</v>
      </c>
      <c r="AE1440" t="str">
        <f t="shared" si="427"/>
        <v>04</v>
      </c>
      <c r="AF1440" t="s">
        <v>40</v>
      </c>
    </row>
    <row r="1441" spans="1:32" x14ac:dyDescent="0.25">
      <c r="A1441">
        <v>5</v>
      </c>
      <c r="B1441">
        <v>240</v>
      </c>
      <c r="C1441" t="str">
        <f t="shared" ref="C1441:C1450" si="436">"35"</f>
        <v>35</v>
      </c>
      <c r="D1441">
        <v>6341</v>
      </c>
      <c r="E1441" t="str">
        <f t="shared" si="435"/>
        <v>00</v>
      </c>
      <c r="F1441" t="str">
        <f t="shared" si="434"/>
        <v>999</v>
      </c>
      <c r="G1441">
        <v>5</v>
      </c>
      <c r="H1441" t="str">
        <f t="shared" ref="H1441:H1451" si="437">"99"</f>
        <v>99</v>
      </c>
      <c r="I1441" t="str">
        <f t="shared" si="426"/>
        <v>0</v>
      </c>
      <c r="J1441" t="str">
        <f t="shared" si="433"/>
        <v>00</v>
      </c>
      <c r="K1441">
        <v>20150423</v>
      </c>
      <c r="L1441" t="str">
        <f t="shared" ref="L1441:L1448" si="438">"014933"</f>
        <v>014933</v>
      </c>
      <c r="M1441" t="str">
        <f t="shared" ref="M1441:M1448" si="439">"00410"</f>
        <v>00410</v>
      </c>
      <c r="N1441" t="s">
        <v>324</v>
      </c>
      <c r="O1441">
        <v>395.2</v>
      </c>
      <c r="Q1441" t="s">
        <v>33</v>
      </c>
      <c r="R1441" t="s">
        <v>34</v>
      </c>
      <c r="S1441" t="s">
        <v>35</v>
      </c>
      <c r="T1441" t="s">
        <v>35</v>
      </c>
      <c r="U1441" t="s">
        <v>34</v>
      </c>
      <c r="V1441" t="str">
        <f>""</f>
        <v/>
      </c>
      <c r="W1441">
        <v>20150423</v>
      </c>
      <c r="X1441" t="s">
        <v>268</v>
      </c>
      <c r="Y1441" t="s">
        <v>310</v>
      </c>
      <c r="Z1441" t="s">
        <v>310</v>
      </c>
      <c r="AA1441">
        <v>0</v>
      </c>
      <c r="AB1441" t="s">
        <v>238</v>
      </c>
      <c r="AC1441" t="s">
        <v>143</v>
      </c>
      <c r="AD1441" t="s">
        <v>40</v>
      </c>
      <c r="AE1441" t="str">
        <f t="shared" si="427"/>
        <v>04</v>
      </c>
      <c r="AF1441" t="s">
        <v>40</v>
      </c>
    </row>
    <row r="1442" spans="1:32" x14ac:dyDescent="0.25">
      <c r="A1442">
        <v>5</v>
      </c>
      <c r="B1442">
        <v>240</v>
      </c>
      <c r="C1442" t="str">
        <f t="shared" si="436"/>
        <v>35</v>
      </c>
      <c r="D1442">
        <v>6341</v>
      </c>
      <c r="E1442" t="str">
        <f t="shared" si="435"/>
        <v>00</v>
      </c>
      <c r="F1442" t="str">
        <f t="shared" si="434"/>
        <v>999</v>
      </c>
      <c r="G1442">
        <v>5</v>
      </c>
      <c r="H1442" t="str">
        <f t="shared" si="437"/>
        <v>99</v>
      </c>
      <c r="I1442" t="str">
        <f t="shared" si="426"/>
        <v>0</v>
      </c>
      <c r="J1442" t="str">
        <f t="shared" si="433"/>
        <v>00</v>
      </c>
      <c r="K1442">
        <v>20150423</v>
      </c>
      <c r="L1442" t="str">
        <f t="shared" si="438"/>
        <v>014933</v>
      </c>
      <c r="M1442" t="str">
        <f t="shared" si="439"/>
        <v>00410</v>
      </c>
      <c r="N1442" t="s">
        <v>324</v>
      </c>
      <c r="O1442">
        <v>185.25</v>
      </c>
      <c r="Q1442" t="s">
        <v>33</v>
      </c>
      <c r="R1442" t="s">
        <v>34</v>
      </c>
      <c r="S1442" t="s">
        <v>35</v>
      </c>
      <c r="T1442" t="s">
        <v>35</v>
      </c>
      <c r="U1442" t="s">
        <v>34</v>
      </c>
      <c r="V1442" t="str">
        <f>""</f>
        <v/>
      </c>
      <c r="W1442">
        <v>20150423</v>
      </c>
      <c r="X1442" t="s">
        <v>268</v>
      </c>
      <c r="Y1442" t="s">
        <v>310</v>
      </c>
      <c r="Z1442" t="s">
        <v>310</v>
      </c>
      <c r="AA1442">
        <v>0</v>
      </c>
      <c r="AB1442" t="s">
        <v>238</v>
      </c>
      <c r="AC1442" t="s">
        <v>143</v>
      </c>
      <c r="AD1442" t="s">
        <v>40</v>
      </c>
      <c r="AE1442" t="str">
        <f t="shared" ref="AE1442:AE1473" si="440">"04"</f>
        <v>04</v>
      </c>
      <c r="AF1442" t="s">
        <v>40</v>
      </c>
    </row>
    <row r="1443" spans="1:32" x14ac:dyDescent="0.25">
      <c r="A1443">
        <v>5</v>
      </c>
      <c r="B1443">
        <v>240</v>
      </c>
      <c r="C1443" t="str">
        <f t="shared" si="436"/>
        <v>35</v>
      </c>
      <c r="D1443">
        <v>6341</v>
      </c>
      <c r="E1443" t="str">
        <f t="shared" si="435"/>
        <v>00</v>
      </c>
      <c r="F1443" t="str">
        <f t="shared" si="434"/>
        <v>999</v>
      </c>
      <c r="G1443">
        <v>5</v>
      </c>
      <c r="H1443" t="str">
        <f t="shared" si="437"/>
        <v>99</v>
      </c>
      <c r="I1443" t="str">
        <f t="shared" si="426"/>
        <v>0</v>
      </c>
      <c r="J1443" t="str">
        <f t="shared" si="433"/>
        <v>00</v>
      </c>
      <c r="K1443">
        <v>20150423</v>
      </c>
      <c r="L1443" t="str">
        <f t="shared" si="438"/>
        <v>014933</v>
      </c>
      <c r="M1443" t="str">
        <f t="shared" si="439"/>
        <v>00410</v>
      </c>
      <c r="N1443" t="s">
        <v>324</v>
      </c>
      <c r="O1443">
        <v>407.55</v>
      </c>
      <c r="Q1443" t="s">
        <v>33</v>
      </c>
      <c r="R1443" t="s">
        <v>34</v>
      </c>
      <c r="S1443" t="s">
        <v>35</v>
      </c>
      <c r="T1443" t="s">
        <v>35</v>
      </c>
      <c r="U1443" t="s">
        <v>34</v>
      </c>
      <c r="V1443" t="str">
        <f>""</f>
        <v/>
      </c>
      <c r="W1443">
        <v>20150423</v>
      </c>
      <c r="X1443" t="s">
        <v>268</v>
      </c>
      <c r="Y1443" t="s">
        <v>310</v>
      </c>
      <c r="Z1443" t="s">
        <v>310</v>
      </c>
      <c r="AA1443">
        <v>0</v>
      </c>
      <c r="AB1443" t="s">
        <v>238</v>
      </c>
      <c r="AC1443" t="s">
        <v>143</v>
      </c>
      <c r="AD1443" t="s">
        <v>40</v>
      </c>
      <c r="AE1443" t="str">
        <f t="shared" si="440"/>
        <v>04</v>
      </c>
      <c r="AF1443" t="s">
        <v>40</v>
      </c>
    </row>
    <row r="1444" spans="1:32" x14ac:dyDescent="0.25">
      <c r="A1444">
        <v>5</v>
      </c>
      <c r="B1444">
        <v>240</v>
      </c>
      <c r="C1444" t="str">
        <f t="shared" si="436"/>
        <v>35</v>
      </c>
      <c r="D1444">
        <v>6341</v>
      </c>
      <c r="E1444" t="str">
        <f t="shared" si="435"/>
        <v>00</v>
      </c>
      <c r="F1444" t="str">
        <f t="shared" si="434"/>
        <v>999</v>
      </c>
      <c r="G1444">
        <v>5</v>
      </c>
      <c r="H1444" t="str">
        <f t="shared" si="437"/>
        <v>99</v>
      </c>
      <c r="I1444" t="str">
        <f t="shared" si="426"/>
        <v>0</v>
      </c>
      <c r="J1444" t="str">
        <f t="shared" si="433"/>
        <v>00</v>
      </c>
      <c r="K1444">
        <v>20150423</v>
      </c>
      <c r="L1444" t="str">
        <f t="shared" si="438"/>
        <v>014933</v>
      </c>
      <c r="M1444" t="str">
        <f t="shared" si="439"/>
        <v>00410</v>
      </c>
      <c r="N1444" t="s">
        <v>324</v>
      </c>
      <c r="O1444">
        <v>407.55</v>
      </c>
      <c r="Q1444" t="s">
        <v>33</v>
      </c>
      <c r="R1444" t="s">
        <v>34</v>
      </c>
      <c r="S1444" t="s">
        <v>35</v>
      </c>
      <c r="T1444" t="s">
        <v>35</v>
      </c>
      <c r="U1444" t="s">
        <v>34</v>
      </c>
      <c r="V1444" t="str">
        <f>""</f>
        <v/>
      </c>
      <c r="W1444">
        <v>20150423</v>
      </c>
      <c r="X1444" t="s">
        <v>268</v>
      </c>
      <c r="Y1444" t="s">
        <v>310</v>
      </c>
      <c r="Z1444" t="s">
        <v>310</v>
      </c>
      <c r="AA1444">
        <v>0</v>
      </c>
      <c r="AB1444" t="s">
        <v>238</v>
      </c>
      <c r="AC1444" t="s">
        <v>143</v>
      </c>
      <c r="AD1444" t="s">
        <v>40</v>
      </c>
      <c r="AE1444" t="str">
        <f t="shared" si="440"/>
        <v>04</v>
      </c>
      <c r="AF1444" t="s">
        <v>40</v>
      </c>
    </row>
    <row r="1445" spans="1:32" x14ac:dyDescent="0.25">
      <c r="A1445">
        <v>5</v>
      </c>
      <c r="B1445">
        <v>240</v>
      </c>
      <c r="C1445" t="str">
        <f t="shared" si="436"/>
        <v>35</v>
      </c>
      <c r="D1445">
        <v>6341</v>
      </c>
      <c r="E1445" t="str">
        <f t="shared" si="435"/>
        <v>00</v>
      </c>
      <c r="F1445" t="str">
        <f t="shared" si="434"/>
        <v>999</v>
      </c>
      <c r="G1445">
        <v>5</v>
      </c>
      <c r="H1445" t="str">
        <f t="shared" si="437"/>
        <v>99</v>
      </c>
      <c r="I1445" t="str">
        <f t="shared" si="426"/>
        <v>0</v>
      </c>
      <c r="J1445" t="str">
        <f t="shared" si="433"/>
        <v>00</v>
      </c>
      <c r="K1445">
        <v>20150423</v>
      </c>
      <c r="L1445" t="str">
        <f t="shared" si="438"/>
        <v>014933</v>
      </c>
      <c r="M1445" t="str">
        <f t="shared" si="439"/>
        <v>00410</v>
      </c>
      <c r="N1445" t="s">
        <v>324</v>
      </c>
      <c r="O1445">
        <v>419.9</v>
      </c>
      <c r="Q1445" t="s">
        <v>33</v>
      </c>
      <c r="R1445" t="s">
        <v>34</v>
      </c>
      <c r="S1445" t="s">
        <v>35</v>
      </c>
      <c r="T1445" t="s">
        <v>35</v>
      </c>
      <c r="U1445" t="s">
        <v>34</v>
      </c>
      <c r="V1445" t="str">
        <f>""</f>
        <v/>
      </c>
      <c r="W1445">
        <v>20150423</v>
      </c>
      <c r="X1445" t="s">
        <v>268</v>
      </c>
      <c r="Y1445" t="s">
        <v>310</v>
      </c>
      <c r="Z1445" t="s">
        <v>310</v>
      </c>
      <c r="AA1445">
        <v>0</v>
      </c>
      <c r="AB1445" t="s">
        <v>238</v>
      </c>
      <c r="AC1445" t="s">
        <v>143</v>
      </c>
      <c r="AD1445" t="s">
        <v>40</v>
      </c>
      <c r="AE1445" t="str">
        <f t="shared" si="440"/>
        <v>04</v>
      </c>
      <c r="AF1445" t="s">
        <v>40</v>
      </c>
    </row>
    <row r="1446" spans="1:32" x14ac:dyDescent="0.25">
      <c r="A1446">
        <v>5</v>
      </c>
      <c r="B1446">
        <v>240</v>
      </c>
      <c r="C1446" t="str">
        <f t="shared" si="436"/>
        <v>35</v>
      </c>
      <c r="D1446">
        <v>6341</v>
      </c>
      <c r="E1446" t="str">
        <f t="shared" si="435"/>
        <v>00</v>
      </c>
      <c r="F1446" t="str">
        <f t="shared" si="434"/>
        <v>999</v>
      </c>
      <c r="G1446">
        <v>5</v>
      </c>
      <c r="H1446" t="str">
        <f t="shared" si="437"/>
        <v>99</v>
      </c>
      <c r="I1446" t="str">
        <f t="shared" si="426"/>
        <v>0</v>
      </c>
      <c r="J1446" t="str">
        <f t="shared" si="433"/>
        <v>00</v>
      </c>
      <c r="K1446">
        <v>20150423</v>
      </c>
      <c r="L1446" t="str">
        <f t="shared" si="438"/>
        <v>014933</v>
      </c>
      <c r="M1446" t="str">
        <f t="shared" si="439"/>
        <v>00410</v>
      </c>
      <c r="N1446" t="s">
        <v>324</v>
      </c>
      <c r="O1446">
        <v>518.70000000000005</v>
      </c>
      <c r="Q1446" t="s">
        <v>33</v>
      </c>
      <c r="R1446" t="s">
        <v>34</v>
      </c>
      <c r="S1446" t="s">
        <v>35</v>
      </c>
      <c r="T1446" t="s">
        <v>35</v>
      </c>
      <c r="U1446" t="s">
        <v>34</v>
      </c>
      <c r="V1446" t="str">
        <f>""</f>
        <v/>
      </c>
      <c r="W1446">
        <v>20150423</v>
      </c>
      <c r="X1446" t="s">
        <v>268</v>
      </c>
      <c r="Y1446" t="s">
        <v>310</v>
      </c>
      <c r="Z1446" t="s">
        <v>310</v>
      </c>
      <c r="AA1446">
        <v>0</v>
      </c>
      <c r="AB1446" t="s">
        <v>238</v>
      </c>
      <c r="AC1446" t="s">
        <v>143</v>
      </c>
      <c r="AD1446" t="s">
        <v>40</v>
      </c>
      <c r="AE1446" t="str">
        <f t="shared" si="440"/>
        <v>04</v>
      </c>
      <c r="AF1446" t="s">
        <v>40</v>
      </c>
    </row>
    <row r="1447" spans="1:32" x14ac:dyDescent="0.25">
      <c r="A1447">
        <v>5</v>
      </c>
      <c r="B1447">
        <v>240</v>
      </c>
      <c r="C1447" t="str">
        <f t="shared" si="436"/>
        <v>35</v>
      </c>
      <c r="D1447">
        <v>6341</v>
      </c>
      <c r="E1447" t="str">
        <f t="shared" si="435"/>
        <v>00</v>
      </c>
      <c r="F1447" t="str">
        <f t="shared" si="434"/>
        <v>999</v>
      </c>
      <c r="G1447">
        <v>5</v>
      </c>
      <c r="H1447" t="str">
        <f t="shared" si="437"/>
        <v>99</v>
      </c>
      <c r="I1447" t="str">
        <f t="shared" si="426"/>
        <v>0</v>
      </c>
      <c r="J1447" t="str">
        <f t="shared" si="433"/>
        <v>00</v>
      </c>
      <c r="K1447">
        <v>20150423</v>
      </c>
      <c r="L1447" t="str">
        <f t="shared" si="438"/>
        <v>014933</v>
      </c>
      <c r="M1447" t="str">
        <f t="shared" si="439"/>
        <v>00410</v>
      </c>
      <c r="N1447" t="s">
        <v>324</v>
      </c>
      <c r="O1447">
        <v>419.9</v>
      </c>
      <c r="Q1447" t="s">
        <v>33</v>
      </c>
      <c r="R1447" t="s">
        <v>34</v>
      </c>
      <c r="S1447" t="s">
        <v>35</v>
      </c>
      <c r="T1447" t="s">
        <v>35</v>
      </c>
      <c r="U1447" t="s">
        <v>34</v>
      </c>
      <c r="V1447" t="str">
        <f>""</f>
        <v/>
      </c>
      <c r="W1447">
        <v>20150423</v>
      </c>
      <c r="X1447" t="s">
        <v>268</v>
      </c>
      <c r="Y1447" t="s">
        <v>310</v>
      </c>
      <c r="Z1447" t="s">
        <v>310</v>
      </c>
      <c r="AA1447">
        <v>0</v>
      </c>
      <c r="AB1447" t="s">
        <v>238</v>
      </c>
      <c r="AC1447" t="s">
        <v>143</v>
      </c>
      <c r="AD1447" t="s">
        <v>40</v>
      </c>
      <c r="AE1447" t="str">
        <f t="shared" si="440"/>
        <v>04</v>
      </c>
      <c r="AF1447" t="s">
        <v>40</v>
      </c>
    </row>
    <row r="1448" spans="1:32" x14ac:dyDescent="0.25">
      <c r="A1448">
        <v>5</v>
      </c>
      <c r="B1448">
        <v>240</v>
      </c>
      <c r="C1448" t="str">
        <f t="shared" si="436"/>
        <v>35</v>
      </c>
      <c r="D1448">
        <v>6341</v>
      </c>
      <c r="E1448" t="str">
        <f t="shared" si="435"/>
        <v>00</v>
      </c>
      <c r="F1448" t="str">
        <f t="shared" si="434"/>
        <v>999</v>
      </c>
      <c r="G1448">
        <v>5</v>
      </c>
      <c r="H1448" t="str">
        <f t="shared" si="437"/>
        <v>99</v>
      </c>
      <c r="I1448" t="str">
        <f t="shared" si="426"/>
        <v>0</v>
      </c>
      <c r="J1448" t="str">
        <f t="shared" si="433"/>
        <v>00</v>
      </c>
      <c r="K1448">
        <v>20150423</v>
      </c>
      <c r="L1448" t="str">
        <f t="shared" si="438"/>
        <v>014933</v>
      </c>
      <c r="M1448" t="str">
        <f t="shared" si="439"/>
        <v>00410</v>
      </c>
      <c r="N1448" t="s">
        <v>324</v>
      </c>
      <c r="O1448">
        <v>-129.93</v>
      </c>
      <c r="Q1448" t="s">
        <v>33</v>
      </c>
      <c r="R1448" t="s">
        <v>34</v>
      </c>
      <c r="S1448" t="s">
        <v>35</v>
      </c>
      <c r="T1448" t="s">
        <v>35</v>
      </c>
      <c r="U1448" t="s">
        <v>34</v>
      </c>
      <c r="V1448" t="s">
        <v>110</v>
      </c>
      <c r="W1448">
        <v>20150423</v>
      </c>
      <c r="X1448" t="s">
        <v>268</v>
      </c>
      <c r="Y1448" t="s">
        <v>664</v>
      </c>
      <c r="Z1448" t="s">
        <v>664</v>
      </c>
      <c r="AA1448">
        <v>0</v>
      </c>
      <c r="AB1448" t="s">
        <v>238</v>
      </c>
      <c r="AC1448" t="s">
        <v>143</v>
      </c>
      <c r="AD1448" t="s">
        <v>112</v>
      </c>
      <c r="AE1448" t="str">
        <f t="shared" si="440"/>
        <v>04</v>
      </c>
      <c r="AF1448" t="s">
        <v>40</v>
      </c>
    </row>
    <row r="1449" spans="1:32" x14ac:dyDescent="0.25">
      <c r="A1449">
        <v>5</v>
      </c>
      <c r="B1449">
        <v>240</v>
      </c>
      <c r="C1449" t="str">
        <f t="shared" si="436"/>
        <v>35</v>
      </c>
      <c r="D1449">
        <v>6349</v>
      </c>
      <c r="E1449" t="str">
        <f t="shared" si="435"/>
        <v>00</v>
      </c>
      <c r="F1449" t="str">
        <f t="shared" si="434"/>
        <v>999</v>
      </c>
      <c r="G1449">
        <v>5</v>
      </c>
      <c r="H1449" t="str">
        <f t="shared" si="437"/>
        <v>99</v>
      </c>
      <c r="I1449" t="str">
        <f t="shared" si="426"/>
        <v>0</v>
      </c>
      <c r="J1449" t="str">
        <f t="shared" si="433"/>
        <v>00</v>
      </c>
      <c r="K1449">
        <v>20150423</v>
      </c>
      <c r="L1449" t="str">
        <f>"014934"</f>
        <v>014934</v>
      </c>
      <c r="M1449" t="str">
        <f>"00248"</f>
        <v>00248</v>
      </c>
      <c r="N1449" t="s">
        <v>830</v>
      </c>
      <c r="O1449">
        <v>954.08</v>
      </c>
      <c r="Q1449" t="s">
        <v>33</v>
      </c>
      <c r="R1449" t="s">
        <v>34</v>
      </c>
      <c r="S1449" t="s">
        <v>35</v>
      </c>
      <c r="T1449" t="s">
        <v>35</v>
      </c>
      <c r="U1449" t="s">
        <v>34</v>
      </c>
      <c r="V1449" t="str">
        <f>""</f>
        <v/>
      </c>
      <c r="W1449">
        <v>20150422</v>
      </c>
      <c r="X1449" t="s">
        <v>236</v>
      </c>
      <c r="Y1449" t="s">
        <v>831</v>
      </c>
      <c r="Z1449" t="s">
        <v>831</v>
      </c>
      <c r="AA1449">
        <v>0</v>
      </c>
      <c r="AB1449" t="s">
        <v>238</v>
      </c>
      <c r="AC1449" t="s">
        <v>143</v>
      </c>
      <c r="AD1449" t="s">
        <v>40</v>
      </c>
      <c r="AE1449" t="str">
        <f t="shared" si="440"/>
        <v>04</v>
      </c>
      <c r="AF1449" t="s">
        <v>40</v>
      </c>
    </row>
    <row r="1450" spans="1:32" x14ac:dyDescent="0.25">
      <c r="A1450">
        <v>5</v>
      </c>
      <c r="B1450">
        <v>240</v>
      </c>
      <c r="C1450" t="str">
        <f t="shared" si="436"/>
        <v>35</v>
      </c>
      <c r="D1450">
        <v>6239</v>
      </c>
      <c r="E1450" t="str">
        <f t="shared" si="435"/>
        <v>00</v>
      </c>
      <c r="F1450" t="str">
        <f t="shared" si="434"/>
        <v>999</v>
      </c>
      <c r="G1450">
        <v>5</v>
      </c>
      <c r="H1450" t="str">
        <f t="shared" si="437"/>
        <v>99</v>
      </c>
      <c r="I1450" t="str">
        <f t="shared" si="426"/>
        <v>0</v>
      </c>
      <c r="J1450" t="str">
        <f t="shared" si="433"/>
        <v>00</v>
      </c>
      <c r="K1450">
        <v>20150423</v>
      </c>
      <c r="L1450" t="str">
        <f>"014935"</f>
        <v>014935</v>
      </c>
      <c r="M1450" t="str">
        <f>"00291"</f>
        <v>00291</v>
      </c>
      <c r="N1450" t="s">
        <v>658</v>
      </c>
      <c r="O1450">
        <v>250</v>
      </c>
      <c r="Q1450" t="s">
        <v>33</v>
      </c>
      <c r="R1450" t="s">
        <v>34</v>
      </c>
      <c r="S1450" t="s">
        <v>35</v>
      </c>
      <c r="T1450" t="s">
        <v>35</v>
      </c>
      <c r="U1450" t="s">
        <v>34</v>
      </c>
      <c r="V1450" t="str">
        <f>""</f>
        <v/>
      </c>
      <c r="W1450">
        <v>20150423</v>
      </c>
      <c r="X1450" t="s">
        <v>832</v>
      </c>
      <c r="Y1450" t="s">
        <v>833</v>
      </c>
      <c r="Z1450" t="s">
        <v>833</v>
      </c>
      <c r="AA1450">
        <v>0</v>
      </c>
      <c r="AB1450" t="s">
        <v>238</v>
      </c>
      <c r="AC1450" t="s">
        <v>143</v>
      </c>
      <c r="AD1450" t="s">
        <v>40</v>
      </c>
      <c r="AE1450" t="str">
        <f t="shared" si="440"/>
        <v>04</v>
      </c>
      <c r="AF1450" t="s">
        <v>40</v>
      </c>
    </row>
    <row r="1451" spans="1:32" x14ac:dyDescent="0.25">
      <c r="A1451">
        <v>5</v>
      </c>
      <c r="B1451">
        <v>420</v>
      </c>
      <c r="C1451" t="str">
        <f>"53"</f>
        <v>53</v>
      </c>
      <c r="D1451">
        <v>6239</v>
      </c>
      <c r="E1451" t="str">
        <f t="shared" si="435"/>
        <v>00</v>
      </c>
      <c r="F1451" t="str">
        <f t="shared" si="434"/>
        <v>999</v>
      </c>
      <c r="G1451">
        <v>5</v>
      </c>
      <c r="H1451" t="str">
        <f t="shared" si="437"/>
        <v>99</v>
      </c>
      <c r="I1451" t="str">
        <f t="shared" si="426"/>
        <v>0</v>
      </c>
      <c r="J1451" t="str">
        <f t="shared" si="433"/>
        <v>00</v>
      </c>
      <c r="K1451">
        <v>20150423</v>
      </c>
      <c r="L1451" t="str">
        <f>"014936"</f>
        <v>014936</v>
      </c>
      <c r="M1451" t="str">
        <f>"00414"</f>
        <v>00414</v>
      </c>
      <c r="N1451" t="s">
        <v>834</v>
      </c>
      <c r="O1451" s="1">
        <v>26148.67</v>
      </c>
      <c r="Q1451" t="s">
        <v>33</v>
      </c>
      <c r="R1451" t="s">
        <v>34</v>
      </c>
      <c r="S1451" t="s">
        <v>35</v>
      </c>
      <c r="T1451" t="s">
        <v>35</v>
      </c>
      <c r="U1451" t="s">
        <v>34</v>
      </c>
      <c r="V1451" t="str">
        <f>""</f>
        <v/>
      </c>
      <c r="W1451">
        <v>20150423</v>
      </c>
      <c r="X1451" t="s">
        <v>835</v>
      </c>
      <c r="Y1451" t="s">
        <v>836</v>
      </c>
      <c r="Z1451" t="s">
        <v>836</v>
      </c>
      <c r="AA1451">
        <v>0</v>
      </c>
      <c r="AB1451" t="s">
        <v>142</v>
      </c>
      <c r="AC1451" t="s">
        <v>143</v>
      </c>
      <c r="AD1451" t="s">
        <v>40</v>
      </c>
      <c r="AE1451" t="str">
        <f t="shared" si="440"/>
        <v>04</v>
      </c>
      <c r="AF1451" t="s">
        <v>40</v>
      </c>
    </row>
    <row r="1452" spans="1:32" x14ac:dyDescent="0.25">
      <c r="A1452">
        <v>5</v>
      </c>
      <c r="B1452">
        <v>420</v>
      </c>
      <c r="C1452" t="str">
        <f>"36"</f>
        <v>36</v>
      </c>
      <c r="D1452">
        <v>6219</v>
      </c>
      <c r="E1452" t="str">
        <f t="shared" si="435"/>
        <v>00</v>
      </c>
      <c r="F1452" t="str">
        <f t="shared" si="434"/>
        <v>999</v>
      </c>
      <c r="G1452">
        <v>5</v>
      </c>
      <c r="H1452" t="str">
        <f>"91"</f>
        <v>91</v>
      </c>
      <c r="I1452" t="str">
        <f t="shared" si="426"/>
        <v>0</v>
      </c>
      <c r="J1452" t="str">
        <f t="shared" si="433"/>
        <v>00</v>
      </c>
      <c r="K1452">
        <v>20150423</v>
      </c>
      <c r="L1452" t="str">
        <f>"014937"</f>
        <v>014937</v>
      </c>
      <c r="M1452" t="str">
        <f>"00476"</f>
        <v>00476</v>
      </c>
      <c r="N1452" t="s">
        <v>837</v>
      </c>
      <c r="O1452">
        <v>67</v>
      </c>
      <c r="Q1452" t="s">
        <v>33</v>
      </c>
      <c r="R1452" t="s">
        <v>34</v>
      </c>
      <c r="S1452" t="s">
        <v>35</v>
      </c>
      <c r="T1452" t="s">
        <v>35</v>
      </c>
      <c r="U1452" t="s">
        <v>34</v>
      </c>
      <c r="V1452" t="str">
        <f>""</f>
        <v/>
      </c>
      <c r="W1452">
        <v>20150423</v>
      </c>
      <c r="X1452" t="s">
        <v>186</v>
      </c>
      <c r="Y1452" t="s">
        <v>793</v>
      </c>
      <c r="Z1452" t="s">
        <v>793</v>
      </c>
      <c r="AA1452">
        <v>0</v>
      </c>
      <c r="AB1452" t="s">
        <v>142</v>
      </c>
      <c r="AC1452" t="s">
        <v>143</v>
      </c>
      <c r="AD1452" t="s">
        <v>40</v>
      </c>
      <c r="AE1452" t="str">
        <f t="shared" si="440"/>
        <v>04</v>
      </c>
      <c r="AF1452" t="s">
        <v>40</v>
      </c>
    </row>
    <row r="1453" spans="1:32" x14ac:dyDescent="0.25">
      <c r="A1453">
        <v>5</v>
      </c>
      <c r="B1453">
        <v>420</v>
      </c>
      <c r="C1453" t="str">
        <f>"36"</f>
        <v>36</v>
      </c>
      <c r="D1453">
        <v>6219</v>
      </c>
      <c r="E1453" t="str">
        <f t="shared" si="435"/>
        <v>00</v>
      </c>
      <c r="F1453" t="str">
        <f t="shared" si="434"/>
        <v>999</v>
      </c>
      <c r="G1453">
        <v>5</v>
      </c>
      <c r="H1453" t="str">
        <f>"91"</f>
        <v>91</v>
      </c>
      <c r="I1453" t="str">
        <f t="shared" si="426"/>
        <v>0</v>
      </c>
      <c r="J1453" t="str">
        <f t="shared" si="433"/>
        <v>00</v>
      </c>
      <c r="K1453">
        <v>20150423</v>
      </c>
      <c r="L1453" t="str">
        <f>"014938"</f>
        <v>014938</v>
      </c>
      <c r="M1453" t="str">
        <f>"00848"</f>
        <v>00848</v>
      </c>
      <c r="N1453" t="s">
        <v>838</v>
      </c>
      <c r="O1453">
        <v>91.4</v>
      </c>
      <c r="Q1453" t="s">
        <v>33</v>
      </c>
      <c r="R1453" t="s">
        <v>34</v>
      </c>
      <c r="S1453" t="s">
        <v>35</v>
      </c>
      <c r="T1453" t="s">
        <v>35</v>
      </c>
      <c r="U1453" t="s">
        <v>34</v>
      </c>
      <c r="V1453" t="str">
        <f>""</f>
        <v/>
      </c>
      <c r="W1453">
        <v>20150423</v>
      </c>
      <c r="X1453" t="s">
        <v>186</v>
      </c>
      <c r="Y1453" t="s">
        <v>793</v>
      </c>
      <c r="Z1453" t="s">
        <v>793</v>
      </c>
      <c r="AA1453">
        <v>0</v>
      </c>
      <c r="AB1453" t="s">
        <v>142</v>
      </c>
      <c r="AC1453" t="s">
        <v>143</v>
      </c>
      <c r="AD1453" t="s">
        <v>40</v>
      </c>
      <c r="AE1453" t="str">
        <f t="shared" si="440"/>
        <v>04</v>
      </c>
      <c r="AF1453" t="s">
        <v>40</v>
      </c>
    </row>
    <row r="1454" spans="1:32" x14ac:dyDescent="0.25">
      <c r="A1454">
        <v>5</v>
      </c>
      <c r="B1454">
        <v>420</v>
      </c>
      <c r="C1454" t="str">
        <f t="shared" ref="C1454:C1465" si="441">"11"</f>
        <v>11</v>
      </c>
      <c r="D1454">
        <v>6399</v>
      </c>
      <c r="E1454" t="str">
        <f t="shared" si="435"/>
        <v>00</v>
      </c>
      <c r="F1454" t="str">
        <f>"001"</f>
        <v>001</v>
      </c>
      <c r="G1454">
        <v>5</v>
      </c>
      <c r="H1454" t="str">
        <f t="shared" ref="H1454:H1465" si="442">"11"</f>
        <v>11</v>
      </c>
      <c r="I1454" t="str">
        <f t="shared" si="426"/>
        <v>0</v>
      </c>
      <c r="J1454" t="str">
        <f t="shared" si="433"/>
        <v>00</v>
      </c>
      <c r="K1454">
        <v>20150423</v>
      </c>
      <c r="L1454" t="str">
        <f t="shared" ref="L1454:L1465" si="443">"014939"</f>
        <v>014939</v>
      </c>
      <c r="M1454" t="str">
        <f t="shared" ref="M1454:M1465" si="444">"00701"</f>
        <v>00701</v>
      </c>
      <c r="N1454" t="s">
        <v>120</v>
      </c>
      <c r="O1454">
        <v>13.68</v>
      </c>
      <c r="Q1454" t="s">
        <v>33</v>
      </c>
      <c r="R1454" t="s">
        <v>34</v>
      </c>
      <c r="S1454" t="s">
        <v>35</v>
      </c>
      <c r="T1454" t="s">
        <v>35</v>
      </c>
      <c r="U1454" t="s">
        <v>34</v>
      </c>
      <c r="V1454" t="str">
        <f>""</f>
        <v/>
      </c>
      <c r="W1454">
        <v>20150422</v>
      </c>
      <c r="X1454" t="s">
        <v>239</v>
      </c>
      <c r="Y1454" t="s">
        <v>444</v>
      </c>
      <c r="Z1454" t="s">
        <v>444</v>
      </c>
      <c r="AA1454">
        <v>0</v>
      </c>
      <c r="AB1454" t="s">
        <v>142</v>
      </c>
      <c r="AC1454" t="s">
        <v>41</v>
      </c>
      <c r="AD1454" t="s">
        <v>40</v>
      </c>
      <c r="AE1454" t="str">
        <f t="shared" si="440"/>
        <v>04</v>
      </c>
      <c r="AF1454" t="s">
        <v>40</v>
      </c>
    </row>
    <row r="1455" spans="1:32" x14ac:dyDescent="0.25">
      <c r="A1455">
        <v>5</v>
      </c>
      <c r="B1455">
        <v>420</v>
      </c>
      <c r="C1455" t="str">
        <f t="shared" si="441"/>
        <v>11</v>
      </c>
      <c r="D1455">
        <v>6399</v>
      </c>
      <c r="E1455" t="str">
        <f t="shared" si="435"/>
        <v>00</v>
      </c>
      <c r="F1455" t="str">
        <f>"001"</f>
        <v>001</v>
      </c>
      <c r="G1455">
        <v>5</v>
      </c>
      <c r="H1455" t="str">
        <f t="shared" si="442"/>
        <v>11</v>
      </c>
      <c r="I1455" t="str">
        <f t="shared" si="426"/>
        <v>0</v>
      </c>
      <c r="J1455" t="str">
        <f t="shared" si="433"/>
        <v>00</v>
      </c>
      <c r="K1455">
        <v>20150423</v>
      </c>
      <c r="L1455" t="str">
        <f t="shared" si="443"/>
        <v>014939</v>
      </c>
      <c r="M1455" t="str">
        <f t="shared" si="444"/>
        <v>00701</v>
      </c>
      <c r="N1455" t="s">
        <v>120</v>
      </c>
      <c r="O1455">
        <v>3.55</v>
      </c>
      <c r="Q1455" t="s">
        <v>33</v>
      </c>
      <c r="R1455" t="s">
        <v>34</v>
      </c>
      <c r="S1455" t="s">
        <v>35</v>
      </c>
      <c r="T1455" t="s">
        <v>35</v>
      </c>
      <c r="U1455" t="s">
        <v>34</v>
      </c>
      <c r="V1455" t="str">
        <f>""</f>
        <v/>
      </c>
      <c r="W1455">
        <v>20150422</v>
      </c>
      <c r="X1455" t="s">
        <v>239</v>
      </c>
      <c r="Y1455" t="s">
        <v>444</v>
      </c>
      <c r="Z1455" t="s">
        <v>444</v>
      </c>
      <c r="AA1455">
        <v>0</v>
      </c>
      <c r="AB1455" t="s">
        <v>142</v>
      </c>
      <c r="AC1455" t="s">
        <v>41</v>
      </c>
      <c r="AD1455" t="s">
        <v>40</v>
      </c>
      <c r="AE1455" t="str">
        <f t="shared" si="440"/>
        <v>04</v>
      </c>
      <c r="AF1455" t="s">
        <v>40</v>
      </c>
    </row>
    <row r="1456" spans="1:32" x14ac:dyDescent="0.25">
      <c r="A1456">
        <v>5</v>
      </c>
      <c r="B1456">
        <v>420</v>
      </c>
      <c r="C1456" t="str">
        <f t="shared" si="441"/>
        <v>11</v>
      </c>
      <c r="D1456">
        <v>6399</v>
      </c>
      <c r="E1456" t="str">
        <f t="shared" si="435"/>
        <v>00</v>
      </c>
      <c r="F1456" t="str">
        <f>"001"</f>
        <v>001</v>
      </c>
      <c r="G1456">
        <v>5</v>
      </c>
      <c r="H1456" t="str">
        <f t="shared" si="442"/>
        <v>11</v>
      </c>
      <c r="I1456" t="str">
        <f t="shared" si="426"/>
        <v>0</v>
      </c>
      <c r="J1456" t="str">
        <f t="shared" si="433"/>
        <v>00</v>
      </c>
      <c r="K1456">
        <v>20150423</v>
      </c>
      <c r="L1456" t="str">
        <f t="shared" si="443"/>
        <v>014939</v>
      </c>
      <c r="M1456" t="str">
        <f t="shared" si="444"/>
        <v>00701</v>
      </c>
      <c r="N1456" t="s">
        <v>120</v>
      </c>
      <c r="O1456">
        <v>6.85</v>
      </c>
      <c r="Q1456" t="s">
        <v>33</v>
      </c>
      <c r="R1456" t="s">
        <v>34</v>
      </c>
      <c r="S1456" t="s">
        <v>35</v>
      </c>
      <c r="T1456" t="s">
        <v>35</v>
      </c>
      <c r="U1456" t="s">
        <v>34</v>
      </c>
      <c r="V1456" t="str">
        <f>""</f>
        <v/>
      </c>
      <c r="W1456">
        <v>20150422</v>
      </c>
      <c r="X1456" t="s">
        <v>239</v>
      </c>
      <c r="Y1456" t="s">
        <v>444</v>
      </c>
      <c r="Z1456" t="s">
        <v>444</v>
      </c>
      <c r="AA1456">
        <v>0</v>
      </c>
      <c r="AB1456" t="s">
        <v>142</v>
      </c>
      <c r="AC1456" t="s">
        <v>41</v>
      </c>
      <c r="AD1456" t="s">
        <v>40</v>
      </c>
      <c r="AE1456" t="str">
        <f t="shared" si="440"/>
        <v>04</v>
      </c>
      <c r="AF1456" t="s">
        <v>40</v>
      </c>
    </row>
    <row r="1457" spans="1:32" x14ac:dyDescent="0.25">
      <c r="A1457">
        <v>5</v>
      </c>
      <c r="B1457">
        <v>420</v>
      </c>
      <c r="C1457" t="str">
        <f t="shared" si="441"/>
        <v>11</v>
      </c>
      <c r="D1457">
        <v>6399</v>
      </c>
      <c r="E1457" t="str">
        <f t="shared" si="435"/>
        <v>00</v>
      </c>
      <c r="F1457" t="str">
        <f>"001"</f>
        <v>001</v>
      </c>
      <c r="G1457">
        <v>5</v>
      </c>
      <c r="H1457" t="str">
        <f t="shared" si="442"/>
        <v>11</v>
      </c>
      <c r="I1457" t="str">
        <f t="shared" si="426"/>
        <v>0</v>
      </c>
      <c r="J1457" t="str">
        <f t="shared" si="433"/>
        <v>00</v>
      </c>
      <c r="K1457">
        <v>20150423</v>
      </c>
      <c r="L1457" t="str">
        <f t="shared" si="443"/>
        <v>014939</v>
      </c>
      <c r="M1457" t="str">
        <f t="shared" si="444"/>
        <v>00701</v>
      </c>
      <c r="N1457" t="s">
        <v>120</v>
      </c>
      <c r="O1457">
        <v>86.02</v>
      </c>
      <c r="Q1457" t="s">
        <v>33</v>
      </c>
      <c r="R1457" t="s">
        <v>34</v>
      </c>
      <c r="S1457" t="s">
        <v>35</v>
      </c>
      <c r="T1457" t="s">
        <v>35</v>
      </c>
      <c r="U1457" t="s">
        <v>34</v>
      </c>
      <c r="V1457" t="str">
        <f>""</f>
        <v/>
      </c>
      <c r="W1457">
        <v>20150422</v>
      </c>
      <c r="X1457" t="s">
        <v>239</v>
      </c>
      <c r="Y1457" t="s">
        <v>444</v>
      </c>
      <c r="Z1457" t="s">
        <v>444</v>
      </c>
      <c r="AA1457">
        <v>0</v>
      </c>
      <c r="AB1457" t="s">
        <v>142</v>
      </c>
      <c r="AC1457" t="s">
        <v>41</v>
      </c>
      <c r="AD1457" t="s">
        <v>40</v>
      </c>
      <c r="AE1457" t="str">
        <f t="shared" si="440"/>
        <v>04</v>
      </c>
      <c r="AF1457" t="s">
        <v>40</v>
      </c>
    </row>
    <row r="1458" spans="1:32" x14ac:dyDescent="0.25">
      <c r="A1458">
        <v>5</v>
      </c>
      <c r="B1458">
        <v>420</v>
      </c>
      <c r="C1458" t="str">
        <f t="shared" si="441"/>
        <v>11</v>
      </c>
      <c r="D1458">
        <v>6399</v>
      </c>
      <c r="E1458" t="str">
        <f t="shared" si="435"/>
        <v>00</v>
      </c>
      <c r="F1458" t="str">
        <f>"001"</f>
        <v>001</v>
      </c>
      <c r="G1458">
        <v>5</v>
      </c>
      <c r="H1458" t="str">
        <f t="shared" si="442"/>
        <v>11</v>
      </c>
      <c r="I1458" t="str">
        <f t="shared" si="426"/>
        <v>0</v>
      </c>
      <c r="J1458" t="str">
        <f t="shared" si="433"/>
        <v>00</v>
      </c>
      <c r="K1458">
        <v>20150423</v>
      </c>
      <c r="L1458" t="str">
        <f t="shared" si="443"/>
        <v>014939</v>
      </c>
      <c r="M1458" t="str">
        <f t="shared" si="444"/>
        <v>00701</v>
      </c>
      <c r="N1458" t="s">
        <v>120</v>
      </c>
      <c r="O1458">
        <v>365.6</v>
      </c>
      <c r="Q1458" t="s">
        <v>33</v>
      </c>
      <c r="R1458" t="s">
        <v>34</v>
      </c>
      <c r="S1458" t="s">
        <v>35</v>
      </c>
      <c r="T1458" t="s">
        <v>35</v>
      </c>
      <c r="U1458" t="s">
        <v>34</v>
      </c>
      <c r="V1458" t="str">
        <f>""</f>
        <v/>
      </c>
      <c r="W1458">
        <v>20150423</v>
      </c>
      <c r="X1458" t="s">
        <v>239</v>
      </c>
      <c r="Y1458" t="s">
        <v>444</v>
      </c>
      <c r="Z1458" t="s">
        <v>444</v>
      </c>
      <c r="AA1458">
        <v>0</v>
      </c>
      <c r="AB1458" t="s">
        <v>142</v>
      </c>
      <c r="AC1458" t="s">
        <v>41</v>
      </c>
      <c r="AD1458" t="s">
        <v>40</v>
      </c>
      <c r="AE1458" t="str">
        <f t="shared" si="440"/>
        <v>04</v>
      </c>
      <c r="AF1458" t="s">
        <v>40</v>
      </c>
    </row>
    <row r="1459" spans="1:32" x14ac:dyDescent="0.25">
      <c r="A1459">
        <v>5</v>
      </c>
      <c r="B1459">
        <v>420</v>
      </c>
      <c r="C1459" t="str">
        <f t="shared" si="441"/>
        <v>11</v>
      </c>
      <c r="D1459">
        <v>6399</v>
      </c>
      <c r="E1459" t="str">
        <f t="shared" si="435"/>
        <v>00</v>
      </c>
      <c r="F1459" t="str">
        <f>"041"</f>
        <v>041</v>
      </c>
      <c r="G1459">
        <v>5</v>
      </c>
      <c r="H1459" t="str">
        <f t="shared" si="442"/>
        <v>11</v>
      </c>
      <c r="I1459" t="str">
        <f t="shared" si="426"/>
        <v>0</v>
      </c>
      <c r="J1459" t="str">
        <f t="shared" si="433"/>
        <v>00</v>
      </c>
      <c r="K1459">
        <v>20150423</v>
      </c>
      <c r="L1459" t="str">
        <f t="shared" si="443"/>
        <v>014939</v>
      </c>
      <c r="M1459" t="str">
        <f t="shared" si="444"/>
        <v>00701</v>
      </c>
      <c r="N1459" t="s">
        <v>120</v>
      </c>
      <c r="O1459">
        <v>13.68</v>
      </c>
      <c r="Q1459" t="s">
        <v>33</v>
      </c>
      <c r="R1459" t="s">
        <v>34</v>
      </c>
      <c r="S1459" t="s">
        <v>35</v>
      </c>
      <c r="T1459" t="s">
        <v>35</v>
      </c>
      <c r="U1459" t="s">
        <v>34</v>
      </c>
      <c r="V1459" t="str">
        <f>""</f>
        <v/>
      </c>
      <c r="W1459">
        <v>20150422</v>
      </c>
      <c r="X1459" t="s">
        <v>241</v>
      </c>
      <c r="Y1459" t="s">
        <v>444</v>
      </c>
      <c r="Z1459" t="s">
        <v>444</v>
      </c>
      <c r="AA1459">
        <v>0</v>
      </c>
      <c r="AB1459" t="s">
        <v>142</v>
      </c>
      <c r="AC1459" t="s">
        <v>41</v>
      </c>
      <c r="AD1459" t="s">
        <v>40</v>
      </c>
      <c r="AE1459" t="str">
        <f t="shared" si="440"/>
        <v>04</v>
      </c>
      <c r="AF1459" t="s">
        <v>40</v>
      </c>
    </row>
    <row r="1460" spans="1:32" x14ac:dyDescent="0.25">
      <c r="A1460">
        <v>5</v>
      </c>
      <c r="B1460">
        <v>420</v>
      </c>
      <c r="C1460" t="str">
        <f t="shared" si="441"/>
        <v>11</v>
      </c>
      <c r="D1460">
        <v>6399</v>
      </c>
      <c r="E1460" t="str">
        <f t="shared" si="435"/>
        <v>00</v>
      </c>
      <c r="F1460" t="str">
        <f>"041"</f>
        <v>041</v>
      </c>
      <c r="G1460">
        <v>5</v>
      </c>
      <c r="H1460" t="str">
        <f t="shared" si="442"/>
        <v>11</v>
      </c>
      <c r="I1460" t="str">
        <f t="shared" si="426"/>
        <v>0</v>
      </c>
      <c r="J1460" t="str">
        <f t="shared" si="433"/>
        <v>00</v>
      </c>
      <c r="K1460">
        <v>20150423</v>
      </c>
      <c r="L1460" t="str">
        <f t="shared" si="443"/>
        <v>014939</v>
      </c>
      <c r="M1460" t="str">
        <f t="shared" si="444"/>
        <v>00701</v>
      </c>
      <c r="N1460" t="s">
        <v>120</v>
      </c>
      <c r="O1460">
        <v>3.55</v>
      </c>
      <c r="Q1460" t="s">
        <v>33</v>
      </c>
      <c r="R1460" t="s">
        <v>34</v>
      </c>
      <c r="S1460" t="s">
        <v>35</v>
      </c>
      <c r="T1460" t="s">
        <v>35</v>
      </c>
      <c r="U1460" t="s">
        <v>34</v>
      </c>
      <c r="V1460" t="str">
        <f>""</f>
        <v/>
      </c>
      <c r="W1460">
        <v>20150422</v>
      </c>
      <c r="X1460" t="s">
        <v>241</v>
      </c>
      <c r="Y1460" t="s">
        <v>444</v>
      </c>
      <c r="Z1460" t="s">
        <v>444</v>
      </c>
      <c r="AA1460">
        <v>0</v>
      </c>
      <c r="AB1460" t="s">
        <v>142</v>
      </c>
      <c r="AC1460" t="s">
        <v>41</v>
      </c>
      <c r="AD1460" t="s">
        <v>40</v>
      </c>
      <c r="AE1460" t="str">
        <f t="shared" si="440"/>
        <v>04</v>
      </c>
      <c r="AF1460" t="s">
        <v>40</v>
      </c>
    </row>
    <row r="1461" spans="1:32" x14ac:dyDescent="0.25">
      <c r="A1461">
        <v>5</v>
      </c>
      <c r="B1461">
        <v>420</v>
      </c>
      <c r="C1461" t="str">
        <f t="shared" si="441"/>
        <v>11</v>
      </c>
      <c r="D1461">
        <v>6399</v>
      </c>
      <c r="E1461" t="str">
        <f t="shared" si="435"/>
        <v>00</v>
      </c>
      <c r="F1461" t="str">
        <f>"041"</f>
        <v>041</v>
      </c>
      <c r="G1461">
        <v>5</v>
      </c>
      <c r="H1461" t="str">
        <f t="shared" si="442"/>
        <v>11</v>
      </c>
      <c r="I1461" t="str">
        <f t="shared" si="426"/>
        <v>0</v>
      </c>
      <c r="J1461" t="str">
        <f t="shared" si="433"/>
        <v>00</v>
      </c>
      <c r="K1461">
        <v>20150423</v>
      </c>
      <c r="L1461" t="str">
        <f t="shared" si="443"/>
        <v>014939</v>
      </c>
      <c r="M1461" t="str">
        <f t="shared" si="444"/>
        <v>00701</v>
      </c>
      <c r="N1461" t="s">
        <v>120</v>
      </c>
      <c r="O1461">
        <v>6.85</v>
      </c>
      <c r="Q1461" t="s">
        <v>33</v>
      </c>
      <c r="R1461" t="s">
        <v>34</v>
      </c>
      <c r="S1461" t="s">
        <v>35</v>
      </c>
      <c r="T1461" t="s">
        <v>35</v>
      </c>
      <c r="U1461" t="s">
        <v>34</v>
      </c>
      <c r="V1461" t="str">
        <f>""</f>
        <v/>
      </c>
      <c r="W1461">
        <v>20150422</v>
      </c>
      <c r="X1461" t="s">
        <v>241</v>
      </c>
      <c r="Y1461" t="s">
        <v>444</v>
      </c>
      <c r="Z1461" t="s">
        <v>444</v>
      </c>
      <c r="AA1461">
        <v>0</v>
      </c>
      <c r="AB1461" t="s">
        <v>142</v>
      </c>
      <c r="AC1461" t="s">
        <v>41</v>
      </c>
      <c r="AD1461" t="s">
        <v>40</v>
      </c>
      <c r="AE1461" t="str">
        <f t="shared" si="440"/>
        <v>04</v>
      </c>
      <c r="AF1461" t="s">
        <v>40</v>
      </c>
    </row>
    <row r="1462" spans="1:32" x14ac:dyDescent="0.25">
      <c r="A1462">
        <v>5</v>
      </c>
      <c r="B1462">
        <v>420</v>
      </c>
      <c r="C1462" t="str">
        <f t="shared" si="441"/>
        <v>11</v>
      </c>
      <c r="D1462">
        <v>6399</v>
      </c>
      <c r="E1462" t="str">
        <f t="shared" si="435"/>
        <v>00</v>
      </c>
      <c r="F1462" t="str">
        <f>"041"</f>
        <v>041</v>
      </c>
      <c r="G1462">
        <v>5</v>
      </c>
      <c r="H1462" t="str">
        <f t="shared" si="442"/>
        <v>11</v>
      </c>
      <c r="I1462" t="str">
        <f t="shared" si="426"/>
        <v>0</v>
      </c>
      <c r="J1462" t="str">
        <f t="shared" si="433"/>
        <v>00</v>
      </c>
      <c r="K1462">
        <v>20150423</v>
      </c>
      <c r="L1462" t="str">
        <f t="shared" si="443"/>
        <v>014939</v>
      </c>
      <c r="M1462" t="str">
        <f t="shared" si="444"/>
        <v>00701</v>
      </c>
      <c r="N1462" t="s">
        <v>120</v>
      </c>
      <c r="O1462">
        <v>86.02</v>
      </c>
      <c r="Q1462" t="s">
        <v>33</v>
      </c>
      <c r="R1462" t="s">
        <v>34</v>
      </c>
      <c r="S1462" t="s">
        <v>35</v>
      </c>
      <c r="T1462" t="s">
        <v>35</v>
      </c>
      <c r="U1462" t="s">
        <v>34</v>
      </c>
      <c r="V1462" t="str">
        <f>""</f>
        <v/>
      </c>
      <c r="W1462">
        <v>20150422</v>
      </c>
      <c r="X1462" t="s">
        <v>241</v>
      </c>
      <c r="Y1462" t="s">
        <v>444</v>
      </c>
      <c r="Z1462" t="s">
        <v>444</v>
      </c>
      <c r="AA1462">
        <v>0</v>
      </c>
      <c r="AB1462" t="s">
        <v>142</v>
      </c>
      <c r="AC1462" t="s">
        <v>41</v>
      </c>
      <c r="AD1462" t="s">
        <v>40</v>
      </c>
      <c r="AE1462" t="str">
        <f t="shared" si="440"/>
        <v>04</v>
      </c>
      <c r="AF1462" t="s">
        <v>40</v>
      </c>
    </row>
    <row r="1463" spans="1:32" x14ac:dyDescent="0.25">
      <c r="A1463">
        <v>5</v>
      </c>
      <c r="B1463">
        <v>420</v>
      </c>
      <c r="C1463" t="str">
        <f t="shared" si="441"/>
        <v>11</v>
      </c>
      <c r="D1463">
        <v>6399</v>
      </c>
      <c r="E1463" t="str">
        <f t="shared" si="435"/>
        <v>00</v>
      </c>
      <c r="F1463" t="str">
        <f>"101"</f>
        <v>101</v>
      </c>
      <c r="G1463">
        <v>5</v>
      </c>
      <c r="H1463" t="str">
        <f t="shared" si="442"/>
        <v>11</v>
      </c>
      <c r="I1463" t="str">
        <f t="shared" si="426"/>
        <v>0</v>
      </c>
      <c r="J1463" t="str">
        <f t="shared" si="433"/>
        <v>00</v>
      </c>
      <c r="K1463">
        <v>20150423</v>
      </c>
      <c r="L1463" t="str">
        <f t="shared" si="443"/>
        <v>014939</v>
      </c>
      <c r="M1463" t="str">
        <f t="shared" si="444"/>
        <v>00701</v>
      </c>
      <c r="N1463" t="s">
        <v>120</v>
      </c>
      <c r="O1463">
        <v>58.15</v>
      </c>
      <c r="Q1463" t="s">
        <v>33</v>
      </c>
      <c r="R1463" t="s">
        <v>34</v>
      </c>
      <c r="S1463" t="s">
        <v>35</v>
      </c>
      <c r="T1463" t="s">
        <v>35</v>
      </c>
      <c r="U1463" t="s">
        <v>34</v>
      </c>
      <c r="V1463" t="str">
        <f>""</f>
        <v/>
      </c>
      <c r="W1463">
        <v>20150422</v>
      </c>
      <c r="X1463" t="s">
        <v>246</v>
      </c>
      <c r="Y1463" t="s">
        <v>444</v>
      </c>
      <c r="Z1463" t="s">
        <v>444</v>
      </c>
      <c r="AA1463">
        <v>0</v>
      </c>
      <c r="AB1463" t="s">
        <v>142</v>
      </c>
      <c r="AC1463" t="s">
        <v>41</v>
      </c>
      <c r="AD1463" t="s">
        <v>40</v>
      </c>
      <c r="AE1463" t="str">
        <f t="shared" si="440"/>
        <v>04</v>
      </c>
      <c r="AF1463" t="s">
        <v>40</v>
      </c>
    </row>
    <row r="1464" spans="1:32" x14ac:dyDescent="0.25">
      <c r="A1464">
        <v>5</v>
      </c>
      <c r="B1464">
        <v>420</v>
      </c>
      <c r="C1464" t="str">
        <f t="shared" si="441"/>
        <v>11</v>
      </c>
      <c r="D1464">
        <v>6399</v>
      </c>
      <c r="E1464" t="str">
        <f t="shared" ref="E1464:E1470" si="445">"00"</f>
        <v>00</v>
      </c>
      <c r="F1464" t="str">
        <f>"101"</f>
        <v>101</v>
      </c>
      <c r="G1464">
        <v>5</v>
      </c>
      <c r="H1464" t="str">
        <f t="shared" si="442"/>
        <v>11</v>
      </c>
      <c r="I1464" t="str">
        <f t="shared" si="426"/>
        <v>0</v>
      </c>
      <c r="J1464" t="str">
        <f t="shared" si="433"/>
        <v>00</v>
      </c>
      <c r="K1464">
        <v>20150423</v>
      </c>
      <c r="L1464" t="str">
        <f t="shared" si="443"/>
        <v>014939</v>
      </c>
      <c r="M1464" t="str">
        <f t="shared" si="444"/>
        <v>00701</v>
      </c>
      <c r="N1464" t="s">
        <v>120</v>
      </c>
      <c r="O1464">
        <v>15.09</v>
      </c>
      <c r="Q1464" t="s">
        <v>33</v>
      </c>
      <c r="R1464" t="s">
        <v>34</v>
      </c>
      <c r="S1464" t="s">
        <v>35</v>
      </c>
      <c r="T1464" t="s">
        <v>35</v>
      </c>
      <c r="U1464" t="s">
        <v>34</v>
      </c>
      <c r="V1464" t="str">
        <f>""</f>
        <v/>
      </c>
      <c r="W1464">
        <v>20150422</v>
      </c>
      <c r="X1464" t="s">
        <v>246</v>
      </c>
      <c r="Y1464" t="s">
        <v>444</v>
      </c>
      <c r="Z1464" t="s">
        <v>444</v>
      </c>
      <c r="AA1464">
        <v>0</v>
      </c>
      <c r="AB1464" t="s">
        <v>142</v>
      </c>
      <c r="AC1464" t="s">
        <v>41</v>
      </c>
      <c r="AD1464" t="s">
        <v>40</v>
      </c>
      <c r="AE1464" t="str">
        <f t="shared" si="440"/>
        <v>04</v>
      </c>
      <c r="AF1464" t="s">
        <v>40</v>
      </c>
    </row>
    <row r="1465" spans="1:32" x14ac:dyDescent="0.25">
      <c r="A1465">
        <v>5</v>
      </c>
      <c r="B1465">
        <v>420</v>
      </c>
      <c r="C1465" t="str">
        <f t="shared" si="441"/>
        <v>11</v>
      </c>
      <c r="D1465">
        <v>6399</v>
      </c>
      <c r="E1465" t="str">
        <f t="shared" si="445"/>
        <v>00</v>
      </c>
      <c r="F1465" t="str">
        <f>"101"</f>
        <v>101</v>
      </c>
      <c r="G1465">
        <v>5</v>
      </c>
      <c r="H1465" t="str">
        <f t="shared" si="442"/>
        <v>11</v>
      </c>
      <c r="I1465" t="str">
        <f t="shared" si="426"/>
        <v>0</v>
      </c>
      <c r="J1465" t="str">
        <f t="shared" si="433"/>
        <v>00</v>
      </c>
      <c r="K1465">
        <v>20150423</v>
      </c>
      <c r="L1465" t="str">
        <f t="shared" si="443"/>
        <v>014939</v>
      </c>
      <c r="M1465" t="str">
        <f t="shared" si="444"/>
        <v>00701</v>
      </c>
      <c r="N1465" t="s">
        <v>120</v>
      </c>
      <c r="O1465">
        <v>29.13</v>
      </c>
      <c r="Q1465" t="s">
        <v>33</v>
      </c>
      <c r="R1465" t="s">
        <v>34</v>
      </c>
      <c r="S1465" t="s">
        <v>35</v>
      </c>
      <c r="T1465" t="s">
        <v>35</v>
      </c>
      <c r="U1465" t="s">
        <v>34</v>
      </c>
      <c r="V1465" t="str">
        <f>""</f>
        <v/>
      </c>
      <c r="W1465">
        <v>20150422</v>
      </c>
      <c r="X1465" t="s">
        <v>246</v>
      </c>
      <c r="Y1465" t="s">
        <v>444</v>
      </c>
      <c r="Z1465" t="s">
        <v>444</v>
      </c>
      <c r="AA1465">
        <v>0</v>
      </c>
      <c r="AB1465" t="s">
        <v>142</v>
      </c>
      <c r="AC1465" t="s">
        <v>41</v>
      </c>
      <c r="AD1465" t="s">
        <v>40</v>
      </c>
      <c r="AE1465" t="str">
        <f t="shared" si="440"/>
        <v>04</v>
      </c>
      <c r="AF1465" t="s">
        <v>40</v>
      </c>
    </row>
    <row r="1466" spans="1:32" x14ac:dyDescent="0.25">
      <c r="A1466">
        <v>5</v>
      </c>
      <c r="B1466">
        <v>240</v>
      </c>
      <c r="C1466" t="str">
        <f>"35"</f>
        <v>35</v>
      </c>
      <c r="D1466">
        <v>6341</v>
      </c>
      <c r="E1466" t="str">
        <f t="shared" si="445"/>
        <v>00</v>
      </c>
      <c r="F1466" t="str">
        <f t="shared" ref="F1466:F1472" si="446">"999"</f>
        <v>999</v>
      </c>
      <c r="G1466">
        <v>5</v>
      </c>
      <c r="H1466" t="str">
        <f t="shared" ref="H1466:H1472" si="447">"99"</f>
        <v>99</v>
      </c>
      <c r="I1466" t="str">
        <f t="shared" si="426"/>
        <v>0</v>
      </c>
      <c r="J1466" t="str">
        <f t="shared" si="433"/>
        <v>00</v>
      </c>
      <c r="K1466">
        <v>20150423</v>
      </c>
      <c r="L1466" t="str">
        <f>"014940"</f>
        <v>014940</v>
      </c>
      <c r="M1466" t="str">
        <f>"00391"</f>
        <v>00391</v>
      </c>
      <c r="N1466" t="s">
        <v>265</v>
      </c>
      <c r="O1466">
        <v>565.9</v>
      </c>
      <c r="Q1466" t="s">
        <v>33</v>
      </c>
      <c r="R1466" t="s">
        <v>34</v>
      </c>
      <c r="S1466" t="s">
        <v>35</v>
      </c>
      <c r="T1466" t="s">
        <v>35</v>
      </c>
      <c r="U1466" t="s">
        <v>34</v>
      </c>
      <c r="V1466" t="str">
        <f>""</f>
        <v/>
      </c>
      <c r="W1466">
        <v>20150423</v>
      </c>
      <c r="X1466" t="s">
        <v>268</v>
      </c>
      <c r="Y1466" t="s">
        <v>266</v>
      </c>
      <c r="Z1466" t="s">
        <v>266</v>
      </c>
      <c r="AA1466">
        <v>0</v>
      </c>
      <c r="AB1466" t="s">
        <v>238</v>
      </c>
      <c r="AC1466" t="s">
        <v>143</v>
      </c>
      <c r="AD1466" t="s">
        <v>40</v>
      </c>
      <c r="AE1466" t="str">
        <f t="shared" si="440"/>
        <v>04</v>
      </c>
      <c r="AF1466" t="s">
        <v>40</v>
      </c>
    </row>
    <row r="1467" spans="1:32" x14ac:dyDescent="0.25">
      <c r="A1467">
        <v>5</v>
      </c>
      <c r="B1467">
        <v>240</v>
      </c>
      <c r="C1467" t="str">
        <f>"35"</f>
        <v>35</v>
      </c>
      <c r="D1467">
        <v>6341</v>
      </c>
      <c r="E1467" t="str">
        <f t="shared" si="445"/>
        <v>00</v>
      </c>
      <c r="F1467" t="str">
        <f t="shared" si="446"/>
        <v>999</v>
      </c>
      <c r="G1467">
        <v>5</v>
      </c>
      <c r="H1467" t="str">
        <f t="shared" si="447"/>
        <v>99</v>
      </c>
      <c r="I1467" t="str">
        <f t="shared" si="426"/>
        <v>0</v>
      </c>
      <c r="J1467" t="str">
        <f t="shared" si="433"/>
        <v>00</v>
      </c>
      <c r="K1467">
        <v>20150423</v>
      </c>
      <c r="L1467" t="str">
        <f>"014940"</f>
        <v>014940</v>
      </c>
      <c r="M1467" t="str">
        <f>"00391"</f>
        <v>00391</v>
      </c>
      <c r="N1467" t="s">
        <v>265</v>
      </c>
      <c r="O1467">
        <v>436.4</v>
      </c>
      <c r="Q1467" t="s">
        <v>33</v>
      </c>
      <c r="R1467" t="s">
        <v>34</v>
      </c>
      <c r="S1467" t="s">
        <v>35</v>
      </c>
      <c r="T1467" t="s">
        <v>35</v>
      </c>
      <c r="U1467" t="s">
        <v>34</v>
      </c>
      <c r="V1467" t="str">
        <f>""</f>
        <v/>
      </c>
      <c r="W1467">
        <v>20150423</v>
      </c>
      <c r="X1467" t="s">
        <v>268</v>
      </c>
      <c r="Y1467" t="s">
        <v>266</v>
      </c>
      <c r="Z1467" t="s">
        <v>266</v>
      </c>
      <c r="AA1467">
        <v>0</v>
      </c>
      <c r="AB1467" t="s">
        <v>238</v>
      </c>
      <c r="AC1467" t="s">
        <v>143</v>
      </c>
      <c r="AD1467" t="s">
        <v>40</v>
      </c>
      <c r="AE1467" t="str">
        <f t="shared" si="440"/>
        <v>04</v>
      </c>
      <c r="AF1467" t="s">
        <v>40</v>
      </c>
    </row>
    <row r="1468" spans="1:32" x14ac:dyDescent="0.25">
      <c r="A1468">
        <v>5</v>
      </c>
      <c r="B1468">
        <v>240</v>
      </c>
      <c r="C1468" t="str">
        <f>"35"</f>
        <v>35</v>
      </c>
      <c r="D1468">
        <v>6341</v>
      </c>
      <c r="E1468" t="str">
        <f t="shared" si="445"/>
        <v>00</v>
      </c>
      <c r="F1468" t="str">
        <f t="shared" si="446"/>
        <v>999</v>
      </c>
      <c r="G1468">
        <v>5</v>
      </c>
      <c r="H1468" t="str">
        <f t="shared" si="447"/>
        <v>99</v>
      </c>
      <c r="I1468" t="str">
        <f t="shared" si="426"/>
        <v>0</v>
      </c>
      <c r="J1468" t="str">
        <f t="shared" si="433"/>
        <v>00</v>
      </c>
      <c r="K1468">
        <v>20150423</v>
      </c>
      <c r="L1468" t="str">
        <f>"014940"</f>
        <v>014940</v>
      </c>
      <c r="M1468" t="str">
        <f>"00391"</f>
        <v>00391</v>
      </c>
      <c r="N1468" t="s">
        <v>265</v>
      </c>
      <c r="O1468" s="1">
        <v>2811.8</v>
      </c>
      <c r="Q1468" t="s">
        <v>33</v>
      </c>
      <c r="R1468" t="s">
        <v>34</v>
      </c>
      <c r="S1468" t="s">
        <v>35</v>
      </c>
      <c r="T1468" t="s">
        <v>35</v>
      </c>
      <c r="U1468" t="s">
        <v>34</v>
      </c>
      <c r="V1468" t="str">
        <f>""</f>
        <v/>
      </c>
      <c r="W1468">
        <v>20150423</v>
      </c>
      <c r="X1468" t="s">
        <v>268</v>
      </c>
      <c r="Y1468" t="s">
        <v>266</v>
      </c>
      <c r="Z1468" t="s">
        <v>266</v>
      </c>
      <c r="AA1468">
        <v>0</v>
      </c>
      <c r="AB1468" t="s">
        <v>238</v>
      </c>
      <c r="AC1468" t="s">
        <v>143</v>
      </c>
      <c r="AD1468" t="s">
        <v>40</v>
      </c>
      <c r="AE1468" t="str">
        <f t="shared" si="440"/>
        <v>04</v>
      </c>
      <c r="AF1468" t="s">
        <v>40</v>
      </c>
    </row>
    <row r="1469" spans="1:32" x14ac:dyDescent="0.25">
      <c r="A1469">
        <v>5</v>
      </c>
      <c r="B1469">
        <v>240</v>
      </c>
      <c r="C1469" t="str">
        <f>"35"</f>
        <v>35</v>
      </c>
      <c r="D1469">
        <v>6342</v>
      </c>
      <c r="E1469" t="str">
        <f t="shared" si="445"/>
        <v>00</v>
      </c>
      <c r="F1469" t="str">
        <f t="shared" si="446"/>
        <v>999</v>
      </c>
      <c r="G1469">
        <v>5</v>
      </c>
      <c r="H1469" t="str">
        <f t="shared" si="447"/>
        <v>99</v>
      </c>
      <c r="I1469" t="str">
        <f t="shared" si="426"/>
        <v>0</v>
      </c>
      <c r="J1469" t="str">
        <f t="shared" si="433"/>
        <v>00</v>
      </c>
      <c r="K1469">
        <v>20150423</v>
      </c>
      <c r="L1469" t="str">
        <f>"014940"</f>
        <v>014940</v>
      </c>
      <c r="M1469" t="str">
        <f>"00391"</f>
        <v>00391</v>
      </c>
      <c r="N1469" t="s">
        <v>265</v>
      </c>
      <c r="O1469">
        <v>65.319999999999993</v>
      </c>
      <c r="Q1469" t="s">
        <v>33</v>
      </c>
      <c r="R1469" t="s">
        <v>34</v>
      </c>
      <c r="S1469" t="s">
        <v>35</v>
      </c>
      <c r="T1469" t="s">
        <v>35</v>
      </c>
      <c r="U1469" t="s">
        <v>34</v>
      </c>
      <c r="V1469" t="str">
        <f>""</f>
        <v/>
      </c>
      <c r="W1469">
        <v>20150423</v>
      </c>
      <c r="X1469" t="s">
        <v>269</v>
      </c>
      <c r="Y1469" t="s">
        <v>266</v>
      </c>
      <c r="Z1469" t="s">
        <v>266</v>
      </c>
      <c r="AA1469">
        <v>0</v>
      </c>
      <c r="AB1469" t="s">
        <v>238</v>
      </c>
      <c r="AC1469" t="s">
        <v>143</v>
      </c>
      <c r="AD1469" t="s">
        <v>40</v>
      </c>
      <c r="AE1469" t="str">
        <f t="shared" si="440"/>
        <v>04</v>
      </c>
      <c r="AF1469" t="s">
        <v>40</v>
      </c>
    </row>
    <row r="1470" spans="1:32" x14ac:dyDescent="0.25">
      <c r="A1470">
        <v>5</v>
      </c>
      <c r="B1470">
        <v>240</v>
      </c>
      <c r="C1470" t="str">
        <f>"35"</f>
        <v>35</v>
      </c>
      <c r="D1470">
        <v>6342</v>
      </c>
      <c r="E1470" t="str">
        <f t="shared" si="445"/>
        <v>00</v>
      </c>
      <c r="F1470" t="str">
        <f t="shared" si="446"/>
        <v>999</v>
      </c>
      <c r="G1470">
        <v>5</v>
      </c>
      <c r="H1470" t="str">
        <f t="shared" si="447"/>
        <v>99</v>
      </c>
      <c r="I1470" t="str">
        <f t="shared" si="426"/>
        <v>0</v>
      </c>
      <c r="J1470" t="str">
        <f t="shared" si="433"/>
        <v>00</v>
      </c>
      <c r="K1470">
        <v>20150423</v>
      </c>
      <c r="L1470" t="str">
        <f>"014940"</f>
        <v>014940</v>
      </c>
      <c r="M1470" t="str">
        <f>"00391"</f>
        <v>00391</v>
      </c>
      <c r="N1470" t="s">
        <v>265</v>
      </c>
      <c r="O1470">
        <v>55.14</v>
      </c>
      <c r="Q1470" t="s">
        <v>33</v>
      </c>
      <c r="R1470" t="s">
        <v>34</v>
      </c>
      <c r="S1470" t="s">
        <v>35</v>
      </c>
      <c r="T1470" t="s">
        <v>35</v>
      </c>
      <c r="U1470" t="s">
        <v>34</v>
      </c>
      <c r="V1470" t="str">
        <f>""</f>
        <v/>
      </c>
      <c r="W1470">
        <v>20150423</v>
      </c>
      <c r="X1470" t="s">
        <v>269</v>
      </c>
      <c r="Y1470" t="s">
        <v>266</v>
      </c>
      <c r="Z1470" t="s">
        <v>266</v>
      </c>
      <c r="AA1470">
        <v>0</v>
      </c>
      <c r="AB1470" t="s">
        <v>238</v>
      </c>
      <c r="AC1470" t="s">
        <v>143</v>
      </c>
      <c r="AD1470" t="s">
        <v>40</v>
      </c>
      <c r="AE1470" t="str">
        <f t="shared" si="440"/>
        <v>04</v>
      </c>
      <c r="AF1470" t="s">
        <v>40</v>
      </c>
    </row>
    <row r="1471" spans="1:32" x14ac:dyDescent="0.25">
      <c r="A1471">
        <v>5</v>
      </c>
      <c r="B1471">
        <v>420</v>
      </c>
      <c r="C1471" t="str">
        <f>"51"</f>
        <v>51</v>
      </c>
      <c r="D1471">
        <v>6259</v>
      </c>
      <c r="E1471" t="str">
        <f>"54"</f>
        <v>54</v>
      </c>
      <c r="F1471" t="str">
        <f t="shared" si="446"/>
        <v>999</v>
      </c>
      <c r="G1471">
        <v>5</v>
      </c>
      <c r="H1471" t="str">
        <f t="shared" si="447"/>
        <v>99</v>
      </c>
      <c r="I1471" t="str">
        <f t="shared" si="426"/>
        <v>0</v>
      </c>
      <c r="J1471" t="str">
        <f t="shared" si="433"/>
        <v>00</v>
      </c>
      <c r="K1471">
        <v>20150423</v>
      </c>
      <c r="L1471" t="str">
        <f>"014941"</f>
        <v>014941</v>
      </c>
      <c r="M1471" t="str">
        <f>"00581"</f>
        <v>00581</v>
      </c>
      <c r="N1471" t="s">
        <v>248</v>
      </c>
      <c r="O1471">
        <v>483.89</v>
      </c>
      <c r="Q1471" t="s">
        <v>33</v>
      </c>
      <c r="R1471" t="s">
        <v>34</v>
      </c>
      <c r="S1471" t="s">
        <v>35</v>
      </c>
      <c r="T1471" t="s">
        <v>35</v>
      </c>
      <c r="U1471" t="s">
        <v>34</v>
      </c>
      <c r="V1471" t="str">
        <f>""</f>
        <v/>
      </c>
      <c r="W1471">
        <v>20150422</v>
      </c>
      <c r="X1471" t="s">
        <v>216</v>
      </c>
      <c r="Y1471" t="s">
        <v>217</v>
      </c>
      <c r="Z1471" t="s">
        <v>217</v>
      </c>
      <c r="AA1471">
        <v>0</v>
      </c>
      <c r="AB1471" t="s">
        <v>142</v>
      </c>
      <c r="AC1471" t="s">
        <v>143</v>
      </c>
      <c r="AD1471" t="s">
        <v>40</v>
      </c>
      <c r="AE1471" t="str">
        <f t="shared" si="440"/>
        <v>04</v>
      </c>
      <c r="AF1471" t="s">
        <v>40</v>
      </c>
    </row>
    <row r="1472" spans="1:32" x14ac:dyDescent="0.25">
      <c r="A1472">
        <v>5</v>
      </c>
      <c r="B1472">
        <v>420</v>
      </c>
      <c r="C1472" t="str">
        <f>"51"</f>
        <v>51</v>
      </c>
      <c r="D1472">
        <v>6259</v>
      </c>
      <c r="E1472" t="str">
        <f>"54"</f>
        <v>54</v>
      </c>
      <c r="F1472" t="str">
        <f t="shared" si="446"/>
        <v>999</v>
      </c>
      <c r="G1472">
        <v>5</v>
      </c>
      <c r="H1472" t="str">
        <f t="shared" si="447"/>
        <v>99</v>
      </c>
      <c r="I1472" t="str">
        <f t="shared" si="426"/>
        <v>0</v>
      </c>
      <c r="J1472" t="str">
        <f t="shared" si="433"/>
        <v>00</v>
      </c>
      <c r="K1472">
        <v>20150423</v>
      </c>
      <c r="L1472" t="str">
        <f>"014942"</f>
        <v>014942</v>
      </c>
      <c r="M1472" t="str">
        <f>"00591"</f>
        <v>00591</v>
      </c>
      <c r="N1472" t="s">
        <v>272</v>
      </c>
      <c r="O1472" s="1">
        <v>2172.16</v>
      </c>
      <c r="Q1472" t="s">
        <v>33</v>
      </c>
      <c r="R1472" t="s">
        <v>34</v>
      </c>
      <c r="S1472" t="s">
        <v>35</v>
      </c>
      <c r="T1472" t="s">
        <v>35</v>
      </c>
      <c r="U1472" t="s">
        <v>34</v>
      </c>
      <c r="V1472" t="str">
        <f>""</f>
        <v/>
      </c>
      <c r="W1472">
        <v>20150423</v>
      </c>
      <c r="X1472" t="s">
        <v>216</v>
      </c>
      <c r="Y1472" t="s">
        <v>273</v>
      </c>
      <c r="Z1472" t="s">
        <v>273</v>
      </c>
      <c r="AA1472">
        <v>0</v>
      </c>
      <c r="AB1472" t="s">
        <v>142</v>
      </c>
      <c r="AC1472" t="s">
        <v>143</v>
      </c>
      <c r="AD1472" t="s">
        <v>40</v>
      </c>
      <c r="AE1472" t="str">
        <f t="shared" si="440"/>
        <v>04</v>
      </c>
      <c r="AF1472" t="s">
        <v>40</v>
      </c>
    </row>
    <row r="1473" spans="1:32" x14ac:dyDescent="0.25">
      <c r="A1473">
        <v>5</v>
      </c>
      <c r="B1473">
        <v>211</v>
      </c>
      <c r="C1473" t="str">
        <f>"11"</f>
        <v>11</v>
      </c>
      <c r="D1473">
        <v>6399</v>
      </c>
      <c r="E1473" t="str">
        <f t="shared" ref="E1473:E1485" si="448">"00"</f>
        <v>00</v>
      </c>
      <c r="F1473" t="str">
        <f>"101"</f>
        <v>101</v>
      </c>
      <c r="G1473">
        <v>5</v>
      </c>
      <c r="H1473" t="str">
        <f>"30"</f>
        <v>30</v>
      </c>
      <c r="I1473" t="str">
        <f t="shared" si="426"/>
        <v>0</v>
      </c>
      <c r="J1473" t="str">
        <f>"28"</f>
        <v>28</v>
      </c>
      <c r="K1473">
        <v>20150423</v>
      </c>
      <c r="L1473" t="str">
        <f>"014943"</f>
        <v>014943</v>
      </c>
      <c r="M1473" t="str">
        <f>"00847"</f>
        <v>00847</v>
      </c>
      <c r="N1473" t="s">
        <v>839</v>
      </c>
      <c r="O1473">
        <v>599</v>
      </c>
      <c r="Q1473" t="s">
        <v>33</v>
      </c>
      <c r="R1473" t="s">
        <v>34</v>
      </c>
      <c r="S1473" t="s">
        <v>35</v>
      </c>
      <c r="T1473" t="s">
        <v>35</v>
      </c>
      <c r="U1473" t="s">
        <v>34</v>
      </c>
      <c r="V1473" t="str">
        <f>""</f>
        <v/>
      </c>
      <c r="W1473">
        <v>20150422</v>
      </c>
      <c r="X1473" t="s">
        <v>690</v>
      </c>
      <c r="Y1473" t="s">
        <v>840</v>
      </c>
      <c r="Z1473" t="s">
        <v>840</v>
      </c>
      <c r="AA1473">
        <v>0</v>
      </c>
      <c r="AB1473" t="s">
        <v>174</v>
      </c>
      <c r="AC1473" t="s">
        <v>41</v>
      </c>
      <c r="AD1473" t="s">
        <v>40</v>
      </c>
      <c r="AE1473" t="str">
        <f t="shared" si="440"/>
        <v>04</v>
      </c>
      <c r="AF1473" t="s">
        <v>40</v>
      </c>
    </row>
    <row r="1474" spans="1:32" x14ac:dyDescent="0.25">
      <c r="A1474">
        <v>5</v>
      </c>
      <c r="B1474">
        <v>420</v>
      </c>
      <c r="C1474" t="str">
        <f>"34"</f>
        <v>34</v>
      </c>
      <c r="D1474">
        <v>6513</v>
      </c>
      <c r="E1474" t="str">
        <f t="shared" si="448"/>
        <v>00</v>
      </c>
      <c r="F1474" t="str">
        <f>"999"</f>
        <v>999</v>
      </c>
      <c r="G1474">
        <v>5</v>
      </c>
      <c r="H1474" t="str">
        <f>"99"</f>
        <v>99</v>
      </c>
      <c r="I1474" t="str">
        <f t="shared" ref="I1474:I1537" si="449">"0"</f>
        <v>0</v>
      </c>
      <c r="J1474" t="str">
        <f t="shared" ref="J1474:J1512" si="450">"00"</f>
        <v>00</v>
      </c>
      <c r="K1474">
        <v>20150423</v>
      </c>
      <c r="L1474" t="str">
        <f>"014944"</f>
        <v>014944</v>
      </c>
      <c r="M1474" t="str">
        <f>"00520"</f>
        <v>00520</v>
      </c>
      <c r="N1474" t="s">
        <v>329</v>
      </c>
      <c r="O1474" s="1">
        <v>1367.95</v>
      </c>
      <c r="Q1474" t="s">
        <v>33</v>
      </c>
      <c r="R1474" t="s">
        <v>34</v>
      </c>
      <c r="S1474" t="s">
        <v>35</v>
      </c>
      <c r="T1474" t="s">
        <v>35</v>
      </c>
      <c r="U1474" t="s">
        <v>34</v>
      </c>
      <c r="V1474" t="str">
        <f>""</f>
        <v/>
      </c>
      <c r="W1474">
        <v>20150423</v>
      </c>
      <c r="X1474" t="s">
        <v>330</v>
      </c>
      <c r="Y1474" t="s">
        <v>571</v>
      </c>
      <c r="Z1474" t="s">
        <v>571</v>
      </c>
      <c r="AA1474">
        <v>0</v>
      </c>
      <c r="AB1474" t="s">
        <v>142</v>
      </c>
      <c r="AC1474" t="s">
        <v>143</v>
      </c>
      <c r="AD1474" t="s">
        <v>40</v>
      </c>
      <c r="AE1474" t="str">
        <f t="shared" ref="AE1474:AE1510" si="451">"04"</f>
        <v>04</v>
      </c>
      <c r="AF1474" t="s">
        <v>40</v>
      </c>
    </row>
    <row r="1475" spans="1:32" x14ac:dyDescent="0.25">
      <c r="A1475">
        <v>5</v>
      </c>
      <c r="B1475">
        <v>420</v>
      </c>
      <c r="C1475" t="str">
        <f>"34"</f>
        <v>34</v>
      </c>
      <c r="D1475">
        <v>6523</v>
      </c>
      <c r="E1475" t="str">
        <f t="shared" si="448"/>
        <v>00</v>
      </c>
      <c r="F1475" t="str">
        <f>"999"</f>
        <v>999</v>
      </c>
      <c r="G1475">
        <v>5</v>
      </c>
      <c r="H1475" t="str">
        <f>"99"</f>
        <v>99</v>
      </c>
      <c r="I1475" t="str">
        <f t="shared" si="449"/>
        <v>0</v>
      </c>
      <c r="J1475" t="str">
        <f t="shared" si="450"/>
        <v>00</v>
      </c>
      <c r="K1475">
        <v>20150423</v>
      </c>
      <c r="L1475" t="str">
        <f>"014944"</f>
        <v>014944</v>
      </c>
      <c r="M1475" t="str">
        <f>"00520"</f>
        <v>00520</v>
      </c>
      <c r="N1475" t="s">
        <v>329</v>
      </c>
      <c r="O1475">
        <v>347.47</v>
      </c>
      <c r="Q1475" t="s">
        <v>33</v>
      </c>
      <c r="R1475" t="s">
        <v>34</v>
      </c>
      <c r="S1475" t="s">
        <v>35</v>
      </c>
      <c r="T1475" t="s">
        <v>35</v>
      </c>
      <c r="U1475" t="s">
        <v>34</v>
      </c>
      <c r="V1475" t="str">
        <f>""</f>
        <v/>
      </c>
      <c r="W1475">
        <v>20150423</v>
      </c>
      <c r="X1475" t="s">
        <v>640</v>
      </c>
      <c r="Y1475" t="s">
        <v>571</v>
      </c>
      <c r="Z1475" t="s">
        <v>571</v>
      </c>
      <c r="AA1475">
        <v>0</v>
      </c>
      <c r="AB1475" t="s">
        <v>142</v>
      </c>
      <c r="AC1475" t="s">
        <v>143</v>
      </c>
      <c r="AD1475" t="s">
        <v>40</v>
      </c>
      <c r="AE1475" t="str">
        <f t="shared" si="451"/>
        <v>04</v>
      </c>
      <c r="AF1475" t="s">
        <v>40</v>
      </c>
    </row>
    <row r="1476" spans="1:32" x14ac:dyDescent="0.25">
      <c r="A1476">
        <v>5</v>
      </c>
      <c r="B1476">
        <v>420</v>
      </c>
      <c r="C1476" t="str">
        <f t="shared" ref="C1476:C1485" si="452">"00"</f>
        <v>00</v>
      </c>
      <c r="D1476">
        <v>2153</v>
      </c>
      <c r="E1476" t="str">
        <f t="shared" si="448"/>
        <v>00</v>
      </c>
      <c r="F1476" t="str">
        <f>"008"</f>
        <v>008</v>
      </c>
      <c r="G1476">
        <v>5</v>
      </c>
      <c r="H1476" t="str">
        <f t="shared" ref="H1476:H1485" si="453">"00"</f>
        <v>00</v>
      </c>
      <c r="I1476" t="str">
        <f t="shared" si="449"/>
        <v>0</v>
      </c>
      <c r="J1476" t="str">
        <f t="shared" si="450"/>
        <v>00</v>
      </c>
      <c r="K1476">
        <v>20150423</v>
      </c>
      <c r="L1476" t="str">
        <f>"014945"</f>
        <v>014945</v>
      </c>
      <c r="M1476" t="str">
        <f>"00012"</f>
        <v>00012</v>
      </c>
      <c r="N1476" t="s">
        <v>279</v>
      </c>
      <c r="O1476">
        <v>445.94</v>
      </c>
      <c r="Q1476" t="s">
        <v>33</v>
      </c>
      <c r="R1476" t="s">
        <v>34</v>
      </c>
      <c r="S1476" t="s">
        <v>35</v>
      </c>
      <c r="T1476" t="s">
        <v>35</v>
      </c>
      <c r="U1476" t="s">
        <v>34</v>
      </c>
      <c r="V1476" t="str">
        <f>""</f>
        <v/>
      </c>
      <c r="W1476">
        <v>20150423</v>
      </c>
      <c r="X1476" t="s">
        <v>280</v>
      </c>
      <c r="Y1476" t="s">
        <v>841</v>
      </c>
      <c r="Z1476" t="s">
        <v>841</v>
      </c>
      <c r="AA1476">
        <v>0</v>
      </c>
      <c r="AB1476" t="s">
        <v>142</v>
      </c>
      <c r="AC1476" t="s">
        <v>282</v>
      </c>
      <c r="AD1476" t="s">
        <v>144</v>
      </c>
      <c r="AE1476" t="str">
        <f t="shared" si="451"/>
        <v>04</v>
      </c>
      <c r="AF1476" t="s">
        <v>40</v>
      </c>
    </row>
    <row r="1477" spans="1:32" x14ac:dyDescent="0.25">
      <c r="A1477">
        <v>5</v>
      </c>
      <c r="B1477">
        <v>420</v>
      </c>
      <c r="C1477" t="str">
        <f t="shared" si="452"/>
        <v>00</v>
      </c>
      <c r="D1477">
        <v>2159</v>
      </c>
      <c r="E1477" t="str">
        <f t="shared" si="448"/>
        <v>00</v>
      </c>
      <c r="F1477" t="str">
        <f>"009"</f>
        <v>009</v>
      </c>
      <c r="G1477">
        <v>5</v>
      </c>
      <c r="H1477" t="str">
        <f t="shared" si="453"/>
        <v>00</v>
      </c>
      <c r="I1477" t="str">
        <f t="shared" si="449"/>
        <v>0</v>
      </c>
      <c r="J1477" t="str">
        <f t="shared" si="450"/>
        <v>00</v>
      </c>
      <c r="K1477">
        <v>20150423</v>
      </c>
      <c r="L1477" t="str">
        <f>"014945"</f>
        <v>014945</v>
      </c>
      <c r="M1477" t="str">
        <f>"00012"</f>
        <v>00012</v>
      </c>
      <c r="N1477" t="s">
        <v>279</v>
      </c>
      <c r="O1477">
        <v>380.11</v>
      </c>
      <c r="Q1477" t="s">
        <v>33</v>
      </c>
      <c r="R1477" t="s">
        <v>34</v>
      </c>
      <c r="S1477" t="s">
        <v>35</v>
      </c>
      <c r="T1477" t="s">
        <v>35</v>
      </c>
      <c r="U1477" t="s">
        <v>34</v>
      </c>
      <c r="V1477" t="str">
        <f>""</f>
        <v/>
      </c>
      <c r="W1477">
        <v>20150423</v>
      </c>
      <c r="X1477" t="s">
        <v>283</v>
      </c>
      <c r="Y1477" t="s">
        <v>842</v>
      </c>
      <c r="Z1477" t="s">
        <v>842</v>
      </c>
      <c r="AA1477">
        <v>0</v>
      </c>
      <c r="AB1477" t="s">
        <v>142</v>
      </c>
      <c r="AC1477" t="s">
        <v>285</v>
      </c>
      <c r="AD1477" t="s">
        <v>144</v>
      </c>
      <c r="AE1477" t="str">
        <f t="shared" si="451"/>
        <v>04</v>
      </c>
      <c r="AF1477" t="s">
        <v>40</v>
      </c>
    </row>
    <row r="1478" spans="1:32" x14ac:dyDescent="0.25">
      <c r="A1478">
        <v>5</v>
      </c>
      <c r="B1478">
        <v>420</v>
      </c>
      <c r="C1478" t="str">
        <f t="shared" si="452"/>
        <v>00</v>
      </c>
      <c r="D1478">
        <v>2153</v>
      </c>
      <c r="E1478" t="str">
        <f t="shared" si="448"/>
        <v>00</v>
      </c>
      <c r="F1478" t="str">
        <f>"005"</f>
        <v>005</v>
      </c>
      <c r="G1478">
        <v>5</v>
      </c>
      <c r="H1478" t="str">
        <f t="shared" si="453"/>
        <v>00</v>
      </c>
      <c r="I1478" t="str">
        <f t="shared" si="449"/>
        <v>0</v>
      </c>
      <c r="J1478" t="str">
        <f t="shared" si="450"/>
        <v>00</v>
      </c>
      <c r="K1478">
        <v>20150423</v>
      </c>
      <c r="L1478" t="str">
        <f>"014946"</f>
        <v>014946</v>
      </c>
      <c r="M1478" t="str">
        <f>"00226"</f>
        <v>00226</v>
      </c>
      <c r="N1478" t="s">
        <v>286</v>
      </c>
      <c r="O1478">
        <v>757.25</v>
      </c>
      <c r="Q1478" t="s">
        <v>33</v>
      </c>
      <c r="R1478" t="s">
        <v>34</v>
      </c>
      <c r="S1478" t="s">
        <v>35</v>
      </c>
      <c r="T1478" t="s">
        <v>35</v>
      </c>
      <c r="U1478" t="s">
        <v>34</v>
      </c>
      <c r="V1478" t="str">
        <f>""</f>
        <v/>
      </c>
      <c r="W1478">
        <v>20150423</v>
      </c>
      <c r="X1478" t="s">
        <v>287</v>
      </c>
      <c r="Y1478" t="s">
        <v>841</v>
      </c>
      <c r="Z1478" t="s">
        <v>841</v>
      </c>
      <c r="AA1478">
        <v>0</v>
      </c>
      <c r="AB1478" t="s">
        <v>142</v>
      </c>
      <c r="AC1478" t="s">
        <v>288</v>
      </c>
      <c r="AD1478" t="s">
        <v>144</v>
      </c>
      <c r="AE1478" t="str">
        <f t="shared" si="451"/>
        <v>04</v>
      </c>
      <c r="AF1478" t="s">
        <v>40</v>
      </c>
    </row>
    <row r="1479" spans="1:32" x14ac:dyDescent="0.25">
      <c r="A1479">
        <v>5</v>
      </c>
      <c r="B1479">
        <v>420</v>
      </c>
      <c r="C1479" t="str">
        <f t="shared" si="452"/>
        <v>00</v>
      </c>
      <c r="D1479">
        <v>2153</v>
      </c>
      <c r="E1479" t="str">
        <f t="shared" si="448"/>
        <v>00</v>
      </c>
      <c r="F1479" t="str">
        <f>"006"</f>
        <v>006</v>
      </c>
      <c r="G1479">
        <v>5</v>
      </c>
      <c r="H1479" t="str">
        <f t="shared" si="453"/>
        <v>00</v>
      </c>
      <c r="I1479" t="str">
        <f t="shared" si="449"/>
        <v>0</v>
      </c>
      <c r="J1479" t="str">
        <f t="shared" si="450"/>
        <v>00</v>
      </c>
      <c r="K1479">
        <v>20150423</v>
      </c>
      <c r="L1479" t="str">
        <f>"014946"</f>
        <v>014946</v>
      </c>
      <c r="M1479" t="str">
        <f>"00226"</f>
        <v>00226</v>
      </c>
      <c r="N1479" t="s">
        <v>286</v>
      </c>
      <c r="O1479">
        <v>162.06</v>
      </c>
      <c r="Q1479" t="s">
        <v>33</v>
      </c>
      <c r="R1479" t="s">
        <v>34</v>
      </c>
      <c r="S1479" t="s">
        <v>35</v>
      </c>
      <c r="T1479" t="s">
        <v>35</v>
      </c>
      <c r="U1479" t="s">
        <v>34</v>
      </c>
      <c r="V1479" t="str">
        <f>""</f>
        <v/>
      </c>
      <c r="W1479">
        <v>20150423</v>
      </c>
      <c r="X1479" t="s">
        <v>289</v>
      </c>
      <c r="Y1479" t="s">
        <v>841</v>
      </c>
      <c r="Z1479" t="s">
        <v>841</v>
      </c>
      <c r="AA1479">
        <v>0</v>
      </c>
      <c r="AB1479" t="s">
        <v>142</v>
      </c>
      <c r="AC1479" t="s">
        <v>290</v>
      </c>
      <c r="AD1479" t="s">
        <v>144</v>
      </c>
      <c r="AE1479" t="str">
        <f t="shared" si="451"/>
        <v>04</v>
      </c>
      <c r="AF1479" t="s">
        <v>40</v>
      </c>
    </row>
    <row r="1480" spans="1:32" x14ac:dyDescent="0.25">
      <c r="A1480">
        <v>5</v>
      </c>
      <c r="B1480">
        <v>420</v>
      </c>
      <c r="C1480" t="str">
        <f t="shared" si="452"/>
        <v>00</v>
      </c>
      <c r="D1480">
        <v>2159</v>
      </c>
      <c r="E1480" t="str">
        <f t="shared" si="448"/>
        <v>00</v>
      </c>
      <c r="F1480" t="str">
        <f>"021"</f>
        <v>021</v>
      </c>
      <c r="G1480">
        <v>5</v>
      </c>
      <c r="H1480" t="str">
        <f t="shared" si="453"/>
        <v>00</v>
      </c>
      <c r="I1480" t="str">
        <f t="shared" si="449"/>
        <v>0</v>
      </c>
      <c r="J1480" t="str">
        <f t="shared" si="450"/>
        <v>00</v>
      </c>
      <c r="K1480">
        <v>20150423</v>
      </c>
      <c r="L1480" t="str">
        <f>"014947"</f>
        <v>014947</v>
      </c>
      <c r="M1480" t="str">
        <f>"00291"</f>
        <v>00291</v>
      </c>
      <c r="N1480" t="s">
        <v>658</v>
      </c>
      <c r="O1480" s="1">
        <v>1250</v>
      </c>
      <c r="Q1480" t="s">
        <v>33</v>
      </c>
      <c r="R1480" t="s">
        <v>34</v>
      </c>
      <c r="S1480" t="s">
        <v>35</v>
      </c>
      <c r="T1480" t="s">
        <v>35</v>
      </c>
      <c r="U1480" t="s">
        <v>34</v>
      </c>
      <c r="V1480" t="str">
        <f>""</f>
        <v/>
      </c>
      <c r="W1480">
        <v>20150423</v>
      </c>
      <c r="X1480" t="s">
        <v>292</v>
      </c>
      <c r="Y1480" t="s">
        <v>843</v>
      </c>
      <c r="Z1480" t="s">
        <v>843</v>
      </c>
      <c r="AA1480">
        <v>0</v>
      </c>
      <c r="AB1480" t="s">
        <v>142</v>
      </c>
      <c r="AC1480" t="s">
        <v>294</v>
      </c>
      <c r="AD1480" t="s">
        <v>144</v>
      </c>
      <c r="AE1480" t="str">
        <f t="shared" si="451"/>
        <v>04</v>
      </c>
      <c r="AF1480" t="s">
        <v>40</v>
      </c>
    </row>
    <row r="1481" spans="1:32" x14ac:dyDescent="0.25">
      <c r="A1481">
        <v>5</v>
      </c>
      <c r="B1481">
        <v>420</v>
      </c>
      <c r="C1481" t="str">
        <f t="shared" si="452"/>
        <v>00</v>
      </c>
      <c r="D1481">
        <v>2159</v>
      </c>
      <c r="E1481" t="str">
        <f t="shared" si="448"/>
        <v>00</v>
      </c>
      <c r="F1481" t="str">
        <f>"150"</f>
        <v>150</v>
      </c>
      <c r="G1481">
        <v>5</v>
      </c>
      <c r="H1481" t="str">
        <f t="shared" si="453"/>
        <v>00</v>
      </c>
      <c r="I1481" t="str">
        <f t="shared" si="449"/>
        <v>0</v>
      </c>
      <c r="J1481" t="str">
        <f t="shared" si="450"/>
        <v>00</v>
      </c>
      <c r="K1481">
        <v>20150423</v>
      </c>
      <c r="L1481" t="str">
        <f>"014948"</f>
        <v>014948</v>
      </c>
      <c r="M1481" t="str">
        <f>"00355"</f>
        <v>00355</v>
      </c>
      <c r="N1481" t="s">
        <v>295</v>
      </c>
      <c r="O1481">
        <v>417.16</v>
      </c>
      <c r="Q1481" t="s">
        <v>33</v>
      </c>
      <c r="R1481" t="s">
        <v>34</v>
      </c>
      <c r="S1481" t="s">
        <v>35</v>
      </c>
      <c r="T1481" t="s">
        <v>35</v>
      </c>
      <c r="U1481" t="s">
        <v>34</v>
      </c>
      <c r="V1481" t="str">
        <f>""</f>
        <v/>
      </c>
      <c r="W1481">
        <v>20150423</v>
      </c>
      <c r="X1481" t="s">
        <v>296</v>
      </c>
      <c r="Y1481" t="s">
        <v>843</v>
      </c>
      <c r="Z1481" t="s">
        <v>843</v>
      </c>
      <c r="AA1481">
        <v>0</v>
      </c>
      <c r="AB1481" t="s">
        <v>142</v>
      </c>
      <c r="AC1481" t="s">
        <v>297</v>
      </c>
      <c r="AD1481" t="s">
        <v>144</v>
      </c>
      <c r="AE1481" t="str">
        <f t="shared" si="451"/>
        <v>04</v>
      </c>
      <c r="AF1481" t="s">
        <v>40</v>
      </c>
    </row>
    <row r="1482" spans="1:32" x14ac:dyDescent="0.25">
      <c r="A1482">
        <v>5</v>
      </c>
      <c r="B1482">
        <v>420</v>
      </c>
      <c r="C1482" t="str">
        <f t="shared" si="452"/>
        <v>00</v>
      </c>
      <c r="D1482">
        <v>2159</v>
      </c>
      <c r="E1482" t="str">
        <f t="shared" si="448"/>
        <v>00</v>
      </c>
      <c r="F1482" t="str">
        <f>"154"</f>
        <v>154</v>
      </c>
      <c r="G1482">
        <v>5</v>
      </c>
      <c r="H1482" t="str">
        <f t="shared" si="453"/>
        <v>00</v>
      </c>
      <c r="I1482" t="str">
        <f t="shared" si="449"/>
        <v>0</v>
      </c>
      <c r="J1482" t="str">
        <f t="shared" si="450"/>
        <v>00</v>
      </c>
      <c r="K1482">
        <v>20150423</v>
      </c>
      <c r="L1482" t="str">
        <f>"014949"</f>
        <v>014949</v>
      </c>
      <c r="M1482" t="str">
        <f>"00684"</f>
        <v>00684</v>
      </c>
      <c r="N1482" t="s">
        <v>466</v>
      </c>
      <c r="O1482">
        <v>680</v>
      </c>
      <c r="Q1482" t="s">
        <v>33</v>
      </c>
      <c r="R1482" t="s">
        <v>34</v>
      </c>
      <c r="S1482" t="s">
        <v>35</v>
      </c>
      <c r="T1482" t="s">
        <v>35</v>
      </c>
      <c r="U1482" t="s">
        <v>34</v>
      </c>
      <c r="V1482" t="str">
        <f>""</f>
        <v/>
      </c>
      <c r="W1482">
        <v>20150423</v>
      </c>
      <c r="X1482" t="s">
        <v>467</v>
      </c>
      <c r="Y1482" t="s">
        <v>843</v>
      </c>
      <c r="Z1482" t="s">
        <v>843</v>
      </c>
      <c r="AA1482">
        <v>0</v>
      </c>
      <c r="AB1482" t="s">
        <v>142</v>
      </c>
      <c r="AC1482" t="s">
        <v>468</v>
      </c>
      <c r="AD1482" t="s">
        <v>144</v>
      </c>
      <c r="AE1482" t="str">
        <f t="shared" si="451"/>
        <v>04</v>
      </c>
      <c r="AF1482" t="s">
        <v>40</v>
      </c>
    </row>
    <row r="1483" spans="1:32" x14ac:dyDescent="0.25">
      <c r="A1483">
        <v>5</v>
      </c>
      <c r="B1483">
        <v>420</v>
      </c>
      <c r="C1483" t="str">
        <f t="shared" si="452"/>
        <v>00</v>
      </c>
      <c r="D1483">
        <v>2159</v>
      </c>
      <c r="E1483" t="str">
        <f t="shared" si="448"/>
        <v>00</v>
      </c>
      <c r="F1483" t="str">
        <f>"158"</f>
        <v>158</v>
      </c>
      <c r="G1483">
        <v>5</v>
      </c>
      <c r="H1483" t="str">
        <f t="shared" si="453"/>
        <v>00</v>
      </c>
      <c r="I1483" t="str">
        <f t="shared" si="449"/>
        <v>0</v>
      </c>
      <c r="J1483" t="str">
        <f t="shared" si="450"/>
        <v>00</v>
      </c>
      <c r="K1483">
        <v>20150423</v>
      </c>
      <c r="L1483" t="str">
        <f>"014950"</f>
        <v>014950</v>
      </c>
      <c r="M1483" t="str">
        <f>"00773"</f>
        <v>00773</v>
      </c>
      <c r="N1483" t="s">
        <v>298</v>
      </c>
      <c r="O1483">
        <v>25</v>
      </c>
      <c r="Q1483" t="s">
        <v>33</v>
      </c>
      <c r="R1483" t="s">
        <v>34</v>
      </c>
      <c r="S1483" t="s">
        <v>35</v>
      </c>
      <c r="T1483" t="s">
        <v>35</v>
      </c>
      <c r="U1483" t="s">
        <v>34</v>
      </c>
      <c r="V1483" t="str">
        <f>""</f>
        <v/>
      </c>
      <c r="W1483">
        <v>20150423</v>
      </c>
      <c r="X1483" t="s">
        <v>299</v>
      </c>
      <c r="Y1483" t="s">
        <v>844</v>
      </c>
      <c r="Z1483" t="s">
        <v>844</v>
      </c>
      <c r="AA1483">
        <v>0</v>
      </c>
      <c r="AB1483" t="s">
        <v>142</v>
      </c>
      <c r="AC1483" t="s">
        <v>298</v>
      </c>
      <c r="AD1483" t="s">
        <v>144</v>
      </c>
      <c r="AE1483" t="str">
        <f t="shared" si="451"/>
        <v>04</v>
      </c>
      <c r="AF1483" t="s">
        <v>40</v>
      </c>
    </row>
    <row r="1484" spans="1:32" x14ac:dyDescent="0.25">
      <c r="A1484">
        <v>5</v>
      </c>
      <c r="B1484">
        <v>420</v>
      </c>
      <c r="C1484" t="str">
        <f t="shared" si="452"/>
        <v>00</v>
      </c>
      <c r="D1484">
        <v>2159</v>
      </c>
      <c r="E1484" t="str">
        <f t="shared" si="448"/>
        <v>00</v>
      </c>
      <c r="F1484" t="str">
        <f>"164"</f>
        <v>164</v>
      </c>
      <c r="G1484">
        <v>5</v>
      </c>
      <c r="H1484" t="str">
        <f t="shared" si="453"/>
        <v>00</v>
      </c>
      <c r="I1484" t="str">
        <f t="shared" si="449"/>
        <v>0</v>
      </c>
      <c r="J1484" t="str">
        <f t="shared" si="450"/>
        <v>00</v>
      </c>
      <c r="K1484">
        <v>20150423</v>
      </c>
      <c r="L1484" t="str">
        <f>"014951"</f>
        <v>014951</v>
      </c>
      <c r="M1484" t="str">
        <f>"00787"</f>
        <v>00787</v>
      </c>
      <c r="N1484" t="s">
        <v>469</v>
      </c>
      <c r="O1484">
        <v>225</v>
      </c>
      <c r="Q1484" t="s">
        <v>33</v>
      </c>
      <c r="R1484" t="s">
        <v>34</v>
      </c>
      <c r="S1484" t="s">
        <v>35</v>
      </c>
      <c r="T1484" t="s">
        <v>35</v>
      </c>
      <c r="U1484" t="s">
        <v>34</v>
      </c>
      <c r="V1484" t="str">
        <f>""</f>
        <v/>
      </c>
      <c r="W1484">
        <v>20150423</v>
      </c>
      <c r="X1484" t="s">
        <v>470</v>
      </c>
      <c r="Y1484" t="s">
        <v>844</v>
      </c>
      <c r="Z1484" t="s">
        <v>844</v>
      </c>
      <c r="AA1484">
        <v>0</v>
      </c>
      <c r="AB1484" t="s">
        <v>142</v>
      </c>
      <c r="AC1484" t="s">
        <v>472</v>
      </c>
      <c r="AD1484" t="s">
        <v>144</v>
      </c>
      <c r="AE1484" t="str">
        <f t="shared" si="451"/>
        <v>04</v>
      </c>
      <c r="AF1484" t="s">
        <v>40</v>
      </c>
    </row>
    <row r="1485" spans="1:32" x14ac:dyDescent="0.25">
      <c r="A1485">
        <v>5</v>
      </c>
      <c r="B1485">
        <v>420</v>
      </c>
      <c r="C1485" t="str">
        <f t="shared" si="452"/>
        <v>00</v>
      </c>
      <c r="D1485">
        <v>2159</v>
      </c>
      <c r="E1485" t="str">
        <f t="shared" si="448"/>
        <v>00</v>
      </c>
      <c r="F1485" t="str">
        <f>"165"</f>
        <v>165</v>
      </c>
      <c r="G1485">
        <v>5</v>
      </c>
      <c r="H1485" t="str">
        <f t="shared" si="453"/>
        <v>00</v>
      </c>
      <c r="I1485" t="str">
        <f t="shared" si="449"/>
        <v>0</v>
      </c>
      <c r="J1485" t="str">
        <f t="shared" si="450"/>
        <v>00</v>
      </c>
      <c r="K1485">
        <v>20150423</v>
      </c>
      <c r="L1485" t="str">
        <f>"014952"</f>
        <v>014952</v>
      </c>
      <c r="M1485" t="str">
        <f>"00794"</f>
        <v>00794</v>
      </c>
      <c r="N1485" t="s">
        <v>613</v>
      </c>
      <c r="O1485">
        <v>30</v>
      </c>
      <c r="Q1485" t="s">
        <v>33</v>
      </c>
      <c r="R1485" t="s">
        <v>34</v>
      </c>
      <c r="S1485" t="s">
        <v>35</v>
      </c>
      <c r="T1485" t="s">
        <v>35</v>
      </c>
      <c r="U1485" t="s">
        <v>34</v>
      </c>
      <c r="V1485" t="str">
        <f>""</f>
        <v/>
      </c>
      <c r="W1485">
        <v>20150423</v>
      </c>
      <c r="X1485" t="s">
        <v>614</v>
      </c>
      <c r="Y1485" t="s">
        <v>843</v>
      </c>
      <c r="Z1485" t="s">
        <v>843</v>
      </c>
      <c r="AA1485">
        <v>0</v>
      </c>
      <c r="AB1485" t="s">
        <v>142</v>
      </c>
      <c r="AC1485" t="s">
        <v>613</v>
      </c>
      <c r="AD1485" t="s">
        <v>144</v>
      </c>
      <c r="AE1485" t="str">
        <f t="shared" si="451"/>
        <v>04</v>
      </c>
      <c r="AF1485" t="s">
        <v>40</v>
      </c>
    </row>
    <row r="1486" spans="1:32" x14ac:dyDescent="0.25">
      <c r="A1486">
        <v>5</v>
      </c>
      <c r="B1486">
        <v>420</v>
      </c>
      <c r="C1486" t="str">
        <f>"51"</f>
        <v>51</v>
      </c>
      <c r="D1486">
        <v>6259</v>
      </c>
      <c r="E1486" t="str">
        <f>"54"</f>
        <v>54</v>
      </c>
      <c r="F1486" t="str">
        <f>"999"</f>
        <v>999</v>
      </c>
      <c r="G1486">
        <v>5</v>
      </c>
      <c r="H1486" t="str">
        <f>"99"</f>
        <v>99</v>
      </c>
      <c r="I1486" t="str">
        <f t="shared" si="449"/>
        <v>0</v>
      </c>
      <c r="J1486" t="str">
        <f t="shared" si="450"/>
        <v>00</v>
      </c>
      <c r="K1486">
        <v>20150430</v>
      </c>
      <c r="L1486" t="str">
        <f>"014953"</f>
        <v>014953</v>
      </c>
      <c r="M1486" t="str">
        <f>"00030"</f>
        <v>00030</v>
      </c>
      <c r="N1486" t="s">
        <v>215</v>
      </c>
      <c r="O1486">
        <v>277.97000000000003</v>
      </c>
      <c r="Q1486" t="s">
        <v>33</v>
      </c>
      <c r="R1486" t="s">
        <v>34</v>
      </c>
      <c r="S1486" t="s">
        <v>35</v>
      </c>
      <c r="T1486" t="s">
        <v>35</v>
      </c>
      <c r="U1486" t="s">
        <v>34</v>
      </c>
      <c r="V1486" t="str">
        <f>""</f>
        <v/>
      </c>
      <c r="W1486">
        <v>20150428</v>
      </c>
      <c r="X1486" t="s">
        <v>216</v>
      </c>
      <c r="Y1486" t="s">
        <v>542</v>
      </c>
      <c r="Z1486" t="s">
        <v>542</v>
      </c>
      <c r="AA1486">
        <v>0</v>
      </c>
      <c r="AB1486" t="s">
        <v>142</v>
      </c>
      <c r="AC1486" t="s">
        <v>143</v>
      </c>
      <c r="AD1486" t="s">
        <v>40</v>
      </c>
      <c r="AE1486" t="str">
        <f t="shared" si="451"/>
        <v>04</v>
      </c>
      <c r="AF1486" t="s">
        <v>40</v>
      </c>
    </row>
    <row r="1487" spans="1:32" x14ac:dyDescent="0.25">
      <c r="A1487">
        <v>5</v>
      </c>
      <c r="B1487">
        <v>420</v>
      </c>
      <c r="C1487" t="str">
        <f>"51"</f>
        <v>51</v>
      </c>
      <c r="D1487">
        <v>6269</v>
      </c>
      <c r="E1487" t="str">
        <f t="shared" ref="E1487:E1494" si="454">"00"</f>
        <v>00</v>
      </c>
      <c r="F1487" t="str">
        <f>"999"</f>
        <v>999</v>
      </c>
      <c r="G1487">
        <v>5</v>
      </c>
      <c r="H1487" t="str">
        <f>"99"</f>
        <v>99</v>
      </c>
      <c r="I1487" t="str">
        <f t="shared" si="449"/>
        <v>0</v>
      </c>
      <c r="J1487" t="str">
        <f t="shared" si="450"/>
        <v>00</v>
      </c>
      <c r="K1487">
        <v>20150430</v>
      </c>
      <c r="L1487" t="str">
        <f>"014954"</f>
        <v>014954</v>
      </c>
      <c r="M1487" t="str">
        <f>"00035"</f>
        <v>00035</v>
      </c>
      <c r="N1487" t="s">
        <v>698</v>
      </c>
      <c r="O1487">
        <v>291.74</v>
      </c>
      <c r="Q1487" t="s">
        <v>33</v>
      </c>
      <c r="R1487" t="s">
        <v>34</v>
      </c>
      <c r="S1487" t="s">
        <v>35</v>
      </c>
      <c r="T1487" t="s">
        <v>35</v>
      </c>
      <c r="U1487" t="s">
        <v>34</v>
      </c>
      <c r="V1487" t="str">
        <f>""</f>
        <v/>
      </c>
      <c r="W1487">
        <v>20150429</v>
      </c>
      <c r="X1487" t="s">
        <v>225</v>
      </c>
      <c r="Y1487" t="s">
        <v>845</v>
      </c>
      <c r="Z1487" t="s">
        <v>845</v>
      </c>
      <c r="AA1487">
        <v>0</v>
      </c>
      <c r="AB1487" t="s">
        <v>142</v>
      </c>
      <c r="AC1487" t="s">
        <v>143</v>
      </c>
      <c r="AD1487" t="s">
        <v>40</v>
      </c>
      <c r="AE1487" t="str">
        <f t="shared" si="451"/>
        <v>04</v>
      </c>
      <c r="AF1487" t="s">
        <v>40</v>
      </c>
    </row>
    <row r="1488" spans="1:32" x14ac:dyDescent="0.25">
      <c r="A1488">
        <v>5</v>
      </c>
      <c r="B1488">
        <v>240</v>
      </c>
      <c r="C1488" t="str">
        <f>"35"</f>
        <v>35</v>
      </c>
      <c r="D1488">
        <v>6341</v>
      </c>
      <c r="E1488" t="str">
        <f t="shared" si="454"/>
        <v>00</v>
      </c>
      <c r="F1488" t="str">
        <f>"999"</f>
        <v>999</v>
      </c>
      <c r="G1488">
        <v>5</v>
      </c>
      <c r="H1488" t="str">
        <f>"99"</f>
        <v>99</v>
      </c>
      <c r="I1488" t="str">
        <f t="shared" si="449"/>
        <v>0</v>
      </c>
      <c r="J1488" t="str">
        <f t="shared" si="450"/>
        <v>00</v>
      </c>
      <c r="K1488">
        <v>20150430</v>
      </c>
      <c r="L1488" t="str">
        <f>"014955"</f>
        <v>014955</v>
      </c>
      <c r="M1488" t="str">
        <f>"00856"</f>
        <v>00856</v>
      </c>
      <c r="N1488" t="s">
        <v>846</v>
      </c>
      <c r="O1488">
        <v>72</v>
      </c>
      <c r="Q1488" t="s">
        <v>33</v>
      </c>
      <c r="R1488" t="s">
        <v>34</v>
      </c>
      <c r="S1488" t="s">
        <v>35</v>
      </c>
      <c r="T1488" t="s">
        <v>35</v>
      </c>
      <c r="U1488" t="s">
        <v>34</v>
      </c>
      <c r="V1488" t="str">
        <f>""</f>
        <v/>
      </c>
      <c r="W1488">
        <v>20150429</v>
      </c>
      <c r="X1488" t="s">
        <v>268</v>
      </c>
      <c r="Y1488" t="s">
        <v>573</v>
      </c>
      <c r="Z1488" t="s">
        <v>573</v>
      </c>
      <c r="AA1488">
        <v>0</v>
      </c>
      <c r="AB1488" t="s">
        <v>238</v>
      </c>
      <c r="AC1488" t="s">
        <v>143</v>
      </c>
      <c r="AD1488" t="s">
        <v>40</v>
      </c>
      <c r="AE1488" t="str">
        <f t="shared" si="451"/>
        <v>04</v>
      </c>
      <c r="AF1488" t="s">
        <v>40</v>
      </c>
    </row>
    <row r="1489" spans="1:32" x14ac:dyDescent="0.25">
      <c r="A1489">
        <v>5</v>
      </c>
      <c r="B1489">
        <v>211</v>
      </c>
      <c r="C1489" t="str">
        <f>"11"</f>
        <v>11</v>
      </c>
      <c r="D1489">
        <v>6399</v>
      </c>
      <c r="E1489" t="str">
        <f t="shared" si="454"/>
        <v>00</v>
      </c>
      <c r="F1489" t="str">
        <f>"041"</f>
        <v>041</v>
      </c>
      <c r="G1489">
        <v>5</v>
      </c>
      <c r="H1489" t="str">
        <f>"30"</f>
        <v>30</v>
      </c>
      <c r="I1489" t="str">
        <f t="shared" si="449"/>
        <v>0</v>
      </c>
      <c r="J1489" t="str">
        <f t="shared" si="450"/>
        <v>00</v>
      </c>
      <c r="K1489">
        <v>20150430</v>
      </c>
      <c r="L1489" t="str">
        <f>"014956"</f>
        <v>014956</v>
      </c>
      <c r="M1489" t="str">
        <f>"00835"</f>
        <v>00835</v>
      </c>
      <c r="N1489" t="s">
        <v>847</v>
      </c>
      <c r="O1489">
        <v>477.58</v>
      </c>
      <c r="Q1489" t="s">
        <v>33</v>
      </c>
      <c r="R1489" t="s">
        <v>34</v>
      </c>
      <c r="S1489" t="s">
        <v>35</v>
      </c>
      <c r="T1489" t="s">
        <v>35</v>
      </c>
      <c r="U1489" t="s">
        <v>34</v>
      </c>
      <c r="V1489" t="str">
        <f>""</f>
        <v/>
      </c>
      <c r="W1489">
        <v>20150428</v>
      </c>
      <c r="X1489" t="s">
        <v>417</v>
      </c>
      <c r="Y1489" t="s">
        <v>848</v>
      </c>
      <c r="Z1489" t="s">
        <v>848</v>
      </c>
      <c r="AA1489">
        <v>0</v>
      </c>
      <c r="AB1489" t="s">
        <v>174</v>
      </c>
      <c r="AC1489" t="s">
        <v>41</v>
      </c>
      <c r="AD1489" t="s">
        <v>40</v>
      </c>
      <c r="AE1489" t="str">
        <f t="shared" si="451"/>
        <v>04</v>
      </c>
      <c r="AF1489" t="s">
        <v>40</v>
      </c>
    </row>
    <row r="1490" spans="1:32" x14ac:dyDescent="0.25">
      <c r="A1490">
        <v>5</v>
      </c>
      <c r="B1490">
        <v>211</v>
      </c>
      <c r="C1490" t="str">
        <f>"11"</f>
        <v>11</v>
      </c>
      <c r="D1490">
        <v>6399</v>
      </c>
      <c r="E1490" t="str">
        <f t="shared" si="454"/>
        <v>00</v>
      </c>
      <c r="F1490" t="str">
        <f>"101"</f>
        <v>101</v>
      </c>
      <c r="G1490">
        <v>5</v>
      </c>
      <c r="H1490" t="str">
        <f>"30"</f>
        <v>30</v>
      </c>
      <c r="I1490" t="str">
        <f t="shared" si="449"/>
        <v>0</v>
      </c>
      <c r="J1490" t="str">
        <f t="shared" si="450"/>
        <v>00</v>
      </c>
      <c r="K1490">
        <v>20150430</v>
      </c>
      <c r="L1490" t="str">
        <f>"014956"</f>
        <v>014956</v>
      </c>
      <c r="M1490" t="str">
        <f>"00835"</f>
        <v>00835</v>
      </c>
      <c r="N1490" t="s">
        <v>847</v>
      </c>
      <c r="O1490">
        <v>618.75</v>
      </c>
      <c r="Q1490" t="s">
        <v>33</v>
      </c>
      <c r="R1490" t="s">
        <v>34</v>
      </c>
      <c r="S1490" t="s">
        <v>35</v>
      </c>
      <c r="T1490" t="s">
        <v>35</v>
      </c>
      <c r="U1490" t="s">
        <v>34</v>
      </c>
      <c r="V1490" t="str">
        <f>""</f>
        <v/>
      </c>
      <c r="W1490">
        <v>20150428</v>
      </c>
      <c r="X1490" t="s">
        <v>422</v>
      </c>
      <c r="Y1490" t="s">
        <v>848</v>
      </c>
      <c r="Z1490" t="s">
        <v>848</v>
      </c>
      <c r="AA1490">
        <v>0</v>
      </c>
      <c r="AB1490" t="s">
        <v>174</v>
      </c>
      <c r="AC1490" t="s">
        <v>41</v>
      </c>
      <c r="AD1490" t="s">
        <v>40</v>
      </c>
      <c r="AE1490" t="str">
        <f t="shared" si="451"/>
        <v>04</v>
      </c>
      <c r="AF1490" t="s">
        <v>40</v>
      </c>
    </row>
    <row r="1491" spans="1:32" x14ac:dyDescent="0.25">
      <c r="A1491">
        <v>5</v>
      </c>
      <c r="B1491">
        <v>240</v>
      </c>
      <c r="C1491" t="str">
        <f>"35"</f>
        <v>35</v>
      </c>
      <c r="D1491">
        <v>6299</v>
      </c>
      <c r="E1491" t="str">
        <f t="shared" si="454"/>
        <v>00</v>
      </c>
      <c r="F1491" t="str">
        <f>"999"</f>
        <v>999</v>
      </c>
      <c r="G1491">
        <v>5</v>
      </c>
      <c r="H1491" t="str">
        <f>"99"</f>
        <v>99</v>
      </c>
      <c r="I1491" t="str">
        <f t="shared" si="449"/>
        <v>0</v>
      </c>
      <c r="J1491" t="str">
        <f t="shared" si="450"/>
        <v>00</v>
      </c>
      <c r="K1491">
        <v>20150430</v>
      </c>
      <c r="L1491" t="str">
        <f>"014957"</f>
        <v>014957</v>
      </c>
      <c r="M1491" t="str">
        <f>"00855"</f>
        <v>00855</v>
      </c>
      <c r="N1491" t="s">
        <v>849</v>
      </c>
      <c r="O1491">
        <v>450</v>
      </c>
      <c r="Q1491" t="s">
        <v>33</v>
      </c>
      <c r="R1491" t="s">
        <v>34</v>
      </c>
      <c r="S1491" t="s">
        <v>35</v>
      </c>
      <c r="T1491" t="s">
        <v>35</v>
      </c>
      <c r="U1491" t="s">
        <v>34</v>
      </c>
      <c r="V1491" t="str">
        <f>""</f>
        <v/>
      </c>
      <c r="W1491">
        <v>20150428</v>
      </c>
      <c r="X1491" t="s">
        <v>252</v>
      </c>
      <c r="Y1491" t="s">
        <v>850</v>
      </c>
      <c r="Z1491" t="s">
        <v>850</v>
      </c>
      <c r="AA1491">
        <v>0</v>
      </c>
      <c r="AB1491" t="s">
        <v>238</v>
      </c>
      <c r="AC1491" t="s">
        <v>143</v>
      </c>
      <c r="AD1491" t="s">
        <v>40</v>
      </c>
      <c r="AE1491" t="str">
        <f t="shared" si="451"/>
        <v>04</v>
      </c>
      <c r="AF1491" t="s">
        <v>40</v>
      </c>
    </row>
    <row r="1492" spans="1:32" x14ac:dyDescent="0.25">
      <c r="A1492">
        <v>5</v>
      </c>
      <c r="B1492">
        <v>420</v>
      </c>
      <c r="C1492" t="str">
        <f>"11"</f>
        <v>11</v>
      </c>
      <c r="D1492">
        <v>6399</v>
      </c>
      <c r="E1492" t="str">
        <f t="shared" si="454"/>
        <v>00</v>
      </c>
      <c r="F1492" t="str">
        <f>"001"</f>
        <v>001</v>
      </c>
      <c r="G1492">
        <v>5</v>
      </c>
      <c r="H1492" t="str">
        <f>"11"</f>
        <v>11</v>
      </c>
      <c r="I1492" t="str">
        <f t="shared" si="449"/>
        <v>0</v>
      </c>
      <c r="J1492" t="str">
        <f t="shared" si="450"/>
        <v>00</v>
      </c>
      <c r="K1492">
        <v>20150430</v>
      </c>
      <c r="L1492" t="str">
        <f>"014958"</f>
        <v>014958</v>
      </c>
      <c r="M1492" t="str">
        <f>"00178"</f>
        <v>00178</v>
      </c>
      <c r="N1492" t="s">
        <v>125</v>
      </c>
      <c r="O1492">
        <v>402.42</v>
      </c>
      <c r="Q1492" t="s">
        <v>33</v>
      </c>
      <c r="R1492" t="s">
        <v>34</v>
      </c>
      <c r="S1492" t="s">
        <v>35</v>
      </c>
      <c r="T1492" t="s">
        <v>35</v>
      </c>
      <c r="U1492" t="s">
        <v>34</v>
      </c>
      <c r="V1492" t="str">
        <f>""</f>
        <v/>
      </c>
      <c r="W1492">
        <v>20150428</v>
      </c>
      <c r="X1492" t="s">
        <v>239</v>
      </c>
      <c r="Y1492" t="s">
        <v>851</v>
      </c>
      <c r="Z1492" t="s">
        <v>851</v>
      </c>
      <c r="AA1492">
        <v>0</v>
      </c>
      <c r="AB1492" t="s">
        <v>142</v>
      </c>
      <c r="AC1492" t="s">
        <v>41</v>
      </c>
      <c r="AD1492" t="s">
        <v>40</v>
      </c>
      <c r="AE1492" t="str">
        <f t="shared" si="451"/>
        <v>04</v>
      </c>
      <c r="AF1492" t="s">
        <v>40</v>
      </c>
    </row>
    <row r="1493" spans="1:32" x14ac:dyDescent="0.25">
      <c r="A1493">
        <v>5</v>
      </c>
      <c r="B1493">
        <v>420</v>
      </c>
      <c r="C1493" t="str">
        <f>"61"</f>
        <v>61</v>
      </c>
      <c r="D1493">
        <v>6219</v>
      </c>
      <c r="E1493" t="str">
        <f t="shared" si="454"/>
        <v>00</v>
      </c>
      <c r="F1493" t="str">
        <f t="shared" ref="F1493:F1512" si="455">"999"</f>
        <v>999</v>
      </c>
      <c r="G1493">
        <v>5</v>
      </c>
      <c r="H1493" t="str">
        <f>"11"</f>
        <v>11</v>
      </c>
      <c r="I1493" t="str">
        <f t="shared" si="449"/>
        <v>0</v>
      </c>
      <c r="J1493" t="str">
        <f t="shared" si="450"/>
        <v>00</v>
      </c>
      <c r="K1493">
        <v>20150430</v>
      </c>
      <c r="L1493" t="str">
        <f>"014959"</f>
        <v>014959</v>
      </c>
      <c r="M1493" t="str">
        <f>"00566"</f>
        <v>00566</v>
      </c>
      <c r="N1493" t="s">
        <v>221</v>
      </c>
      <c r="O1493">
        <v>67</v>
      </c>
      <c r="Q1493" t="s">
        <v>33</v>
      </c>
      <c r="R1493" t="s">
        <v>34</v>
      </c>
      <c r="S1493" t="s">
        <v>35</v>
      </c>
      <c r="T1493" t="s">
        <v>35</v>
      </c>
      <c r="U1493" t="s">
        <v>34</v>
      </c>
      <c r="V1493" t="str">
        <f>""</f>
        <v/>
      </c>
      <c r="W1493">
        <v>20150428</v>
      </c>
      <c r="X1493" t="s">
        <v>222</v>
      </c>
      <c r="Y1493" t="s">
        <v>699</v>
      </c>
      <c r="Z1493" t="s">
        <v>699</v>
      </c>
      <c r="AA1493">
        <v>0</v>
      </c>
      <c r="AB1493" t="s">
        <v>142</v>
      </c>
      <c r="AC1493" t="s">
        <v>143</v>
      </c>
      <c r="AD1493" t="s">
        <v>40</v>
      </c>
      <c r="AE1493" t="str">
        <f t="shared" si="451"/>
        <v>04</v>
      </c>
      <c r="AF1493" t="s">
        <v>40</v>
      </c>
    </row>
    <row r="1494" spans="1:32" x14ac:dyDescent="0.25">
      <c r="A1494">
        <v>5</v>
      </c>
      <c r="B1494">
        <v>420</v>
      </c>
      <c r="C1494" t="str">
        <f>"11"</f>
        <v>11</v>
      </c>
      <c r="D1494">
        <v>6269</v>
      </c>
      <c r="E1494" t="str">
        <f t="shared" si="454"/>
        <v>00</v>
      </c>
      <c r="F1494" t="str">
        <f t="shared" si="455"/>
        <v>999</v>
      </c>
      <c r="G1494">
        <v>5</v>
      </c>
      <c r="H1494" t="str">
        <f>"11"</f>
        <v>11</v>
      </c>
      <c r="I1494" t="str">
        <f t="shared" si="449"/>
        <v>0</v>
      </c>
      <c r="J1494" t="str">
        <f t="shared" si="450"/>
        <v>00</v>
      </c>
      <c r="K1494">
        <v>20150430</v>
      </c>
      <c r="L1494" t="str">
        <f>"014960"</f>
        <v>014960</v>
      </c>
      <c r="M1494" t="str">
        <f>"00622"</f>
        <v>00622</v>
      </c>
      <c r="N1494" t="s">
        <v>318</v>
      </c>
      <c r="O1494">
        <v>204.4</v>
      </c>
      <c r="Q1494" t="s">
        <v>33</v>
      </c>
      <c r="R1494" t="s">
        <v>34</v>
      </c>
      <c r="S1494" t="s">
        <v>35</v>
      </c>
      <c r="T1494" t="s">
        <v>35</v>
      </c>
      <c r="U1494" t="s">
        <v>34</v>
      </c>
      <c r="V1494" t="str">
        <f>""</f>
        <v/>
      </c>
      <c r="W1494">
        <v>20150428</v>
      </c>
      <c r="X1494" t="s">
        <v>213</v>
      </c>
      <c r="Y1494" t="s">
        <v>231</v>
      </c>
      <c r="Z1494" t="s">
        <v>231</v>
      </c>
      <c r="AA1494">
        <v>0</v>
      </c>
      <c r="AB1494" t="s">
        <v>142</v>
      </c>
      <c r="AC1494" t="s">
        <v>143</v>
      </c>
      <c r="AD1494" t="s">
        <v>40</v>
      </c>
      <c r="AE1494" t="str">
        <f t="shared" si="451"/>
        <v>04</v>
      </c>
      <c r="AF1494" t="s">
        <v>40</v>
      </c>
    </row>
    <row r="1495" spans="1:32" x14ac:dyDescent="0.25">
      <c r="A1495">
        <v>5</v>
      </c>
      <c r="B1495">
        <v>420</v>
      </c>
      <c r="C1495" t="str">
        <f>"51"</f>
        <v>51</v>
      </c>
      <c r="D1495">
        <v>6259</v>
      </c>
      <c r="E1495" t="str">
        <f>"53"</f>
        <v>53</v>
      </c>
      <c r="F1495" t="str">
        <f t="shared" si="455"/>
        <v>999</v>
      </c>
      <c r="G1495">
        <v>5</v>
      </c>
      <c r="H1495" t="str">
        <f>"99"</f>
        <v>99</v>
      </c>
      <c r="I1495" t="str">
        <f t="shared" si="449"/>
        <v>0</v>
      </c>
      <c r="J1495" t="str">
        <f t="shared" si="450"/>
        <v>00</v>
      </c>
      <c r="K1495">
        <v>20150430</v>
      </c>
      <c r="L1495" t="str">
        <f>"014961"</f>
        <v>014961</v>
      </c>
      <c r="M1495" t="str">
        <f>"00726"</f>
        <v>00726</v>
      </c>
      <c r="N1495" t="s">
        <v>227</v>
      </c>
      <c r="O1495" s="1">
        <v>2362.85</v>
      </c>
      <c r="Q1495" t="s">
        <v>33</v>
      </c>
      <c r="R1495" t="s">
        <v>34</v>
      </c>
      <c r="S1495" t="s">
        <v>35</v>
      </c>
      <c r="T1495" t="s">
        <v>35</v>
      </c>
      <c r="U1495" t="s">
        <v>34</v>
      </c>
      <c r="V1495" t="str">
        <f>""</f>
        <v/>
      </c>
      <c r="W1495">
        <v>20150427</v>
      </c>
      <c r="X1495" t="s">
        <v>228</v>
      </c>
      <c r="Y1495" t="s">
        <v>621</v>
      </c>
      <c r="Z1495" t="s">
        <v>621</v>
      </c>
      <c r="AA1495">
        <v>0</v>
      </c>
      <c r="AB1495" t="s">
        <v>142</v>
      </c>
      <c r="AC1495" t="s">
        <v>143</v>
      </c>
      <c r="AD1495" t="s">
        <v>40</v>
      </c>
      <c r="AE1495" t="str">
        <f t="shared" si="451"/>
        <v>04</v>
      </c>
      <c r="AF1495" t="s">
        <v>40</v>
      </c>
    </row>
    <row r="1496" spans="1:32" x14ac:dyDescent="0.25">
      <c r="A1496">
        <v>5</v>
      </c>
      <c r="B1496">
        <v>420</v>
      </c>
      <c r="C1496" t="str">
        <f>"51"</f>
        <v>51</v>
      </c>
      <c r="D1496">
        <v>6259</v>
      </c>
      <c r="E1496" t="str">
        <f>"53"</f>
        <v>53</v>
      </c>
      <c r="F1496" t="str">
        <f t="shared" si="455"/>
        <v>999</v>
      </c>
      <c r="G1496">
        <v>5</v>
      </c>
      <c r="H1496" t="str">
        <f>"99"</f>
        <v>99</v>
      </c>
      <c r="I1496" t="str">
        <f t="shared" si="449"/>
        <v>0</v>
      </c>
      <c r="J1496" t="str">
        <f t="shared" si="450"/>
        <v>00</v>
      </c>
      <c r="K1496">
        <v>20150430</v>
      </c>
      <c r="L1496" t="str">
        <f>"014961"</f>
        <v>014961</v>
      </c>
      <c r="M1496" t="str">
        <f>"00726"</f>
        <v>00726</v>
      </c>
      <c r="N1496" t="s">
        <v>227</v>
      </c>
      <c r="O1496">
        <v>769.6</v>
      </c>
      <c r="Q1496" t="s">
        <v>33</v>
      </c>
      <c r="R1496" t="s">
        <v>34</v>
      </c>
      <c r="S1496" t="s">
        <v>35</v>
      </c>
      <c r="T1496" t="s">
        <v>35</v>
      </c>
      <c r="U1496" t="s">
        <v>34</v>
      </c>
      <c r="V1496" t="str">
        <f>""</f>
        <v/>
      </c>
      <c r="W1496">
        <v>20150428</v>
      </c>
      <c r="X1496" t="s">
        <v>228</v>
      </c>
      <c r="Y1496" t="s">
        <v>621</v>
      </c>
      <c r="Z1496" t="s">
        <v>621</v>
      </c>
      <c r="AA1496">
        <v>0</v>
      </c>
      <c r="AB1496" t="s">
        <v>142</v>
      </c>
      <c r="AC1496" t="s">
        <v>143</v>
      </c>
      <c r="AD1496" t="s">
        <v>40</v>
      </c>
      <c r="AE1496" t="str">
        <f t="shared" si="451"/>
        <v>04</v>
      </c>
      <c r="AF1496" t="s">
        <v>40</v>
      </c>
    </row>
    <row r="1497" spans="1:32" x14ac:dyDescent="0.25">
      <c r="A1497">
        <v>5</v>
      </c>
      <c r="B1497">
        <v>420</v>
      </c>
      <c r="C1497" t="str">
        <f>"51"</f>
        <v>51</v>
      </c>
      <c r="D1497">
        <v>6259</v>
      </c>
      <c r="E1497" t="str">
        <f>"53"</f>
        <v>53</v>
      </c>
      <c r="F1497" t="str">
        <f t="shared" si="455"/>
        <v>999</v>
      </c>
      <c r="G1497">
        <v>5</v>
      </c>
      <c r="H1497" t="str">
        <f>"99"</f>
        <v>99</v>
      </c>
      <c r="I1497" t="str">
        <f t="shared" si="449"/>
        <v>0</v>
      </c>
      <c r="J1497" t="str">
        <f t="shared" si="450"/>
        <v>00</v>
      </c>
      <c r="K1497">
        <v>20150430</v>
      </c>
      <c r="L1497" t="str">
        <f>"014961"</f>
        <v>014961</v>
      </c>
      <c r="M1497" t="str">
        <f>"00726"</f>
        <v>00726</v>
      </c>
      <c r="N1497" t="s">
        <v>227</v>
      </c>
      <c r="O1497" s="1">
        <v>1668.18</v>
      </c>
      <c r="Q1497" t="s">
        <v>33</v>
      </c>
      <c r="R1497" t="s">
        <v>34</v>
      </c>
      <c r="S1497" t="s">
        <v>35</v>
      </c>
      <c r="T1497" t="s">
        <v>35</v>
      </c>
      <c r="U1497" t="s">
        <v>34</v>
      </c>
      <c r="V1497" t="str">
        <f>""</f>
        <v/>
      </c>
      <c r="W1497">
        <v>20150428</v>
      </c>
      <c r="X1497" t="s">
        <v>228</v>
      </c>
      <c r="Y1497" t="s">
        <v>621</v>
      </c>
      <c r="Z1497" t="s">
        <v>621</v>
      </c>
      <c r="AA1497">
        <v>0</v>
      </c>
      <c r="AB1497" t="s">
        <v>142</v>
      </c>
      <c r="AC1497" t="s">
        <v>143</v>
      </c>
      <c r="AD1497" t="s">
        <v>40</v>
      </c>
      <c r="AE1497" t="str">
        <f t="shared" si="451"/>
        <v>04</v>
      </c>
      <c r="AF1497" t="s">
        <v>40</v>
      </c>
    </row>
    <row r="1498" spans="1:32" x14ac:dyDescent="0.25">
      <c r="A1498">
        <v>5</v>
      </c>
      <c r="B1498">
        <v>420</v>
      </c>
      <c r="C1498" t="str">
        <f>"51"</f>
        <v>51</v>
      </c>
      <c r="D1498">
        <v>6259</v>
      </c>
      <c r="E1498" t="str">
        <f>"53"</f>
        <v>53</v>
      </c>
      <c r="F1498" t="str">
        <f t="shared" si="455"/>
        <v>999</v>
      </c>
      <c r="G1498">
        <v>5</v>
      </c>
      <c r="H1498" t="str">
        <f>"99"</f>
        <v>99</v>
      </c>
      <c r="I1498" t="str">
        <f t="shared" si="449"/>
        <v>0</v>
      </c>
      <c r="J1498" t="str">
        <f t="shared" si="450"/>
        <v>00</v>
      </c>
      <c r="K1498">
        <v>20150430</v>
      </c>
      <c r="L1498" t="str">
        <f>"014961"</f>
        <v>014961</v>
      </c>
      <c r="M1498" t="str">
        <f>"00726"</f>
        <v>00726</v>
      </c>
      <c r="N1498" t="s">
        <v>227</v>
      </c>
      <c r="O1498">
        <v>801.79</v>
      </c>
      <c r="Q1498" t="s">
        <v>33</v>
      </c>
      <c r="R1498" t="s">
        <v>34</v>
      </c>
      <c r="S1498" t="s">
        <v>35</v>
      </c>
      <c r="T1498" t="s">
        <v>35</v>
      </c>
      <c r="U1498" t="s">
        <v>34</v>
      </c>
      <c r="V1498" t="str">
        <f>""</f>
        <v/>
      </c>
      <c r="W1498">
        <v>20150428</v>
      </c>
      <c r="X1498" t="s">
        <v>228</v>
      </c>
      <c r="Y1498" t="s">
        <v>621</v>
      </c>
      <c r="Z1498" t="s">
        <v>621</v>
      </c>
      <c r="AA1498">
        <v>0</v>
      </c>
      <c r="AB1498" t="s">
        <v>142</v>
      </c>
      <c r="AC1498" t="s">
        <v>143</v>
      </c>
      <c r="AD1498" t="s">
        <v>40</v>
      </c>
      <c r="AE1498" t="str">
        <f t="shared" si="451"/>
        <v>04</v>
      </c>
      <c r="AF1498" t="s">
        <v>40</v>
      </c>
    </row>
    <row r="1499" spans="1:32" x14ac:dyDescent="0.25">
      <c r="A1499">
        <v>5</v>
      </c>
      <c r="B1499">
        <v>420</v>
      </c>
      <c r="C1499" t="str">
        <f>"34"</f>
        <v>34</v>
      </c>
      <c r="D1499">
        <v>6429</v>
      </c>
      <c r="E1499" t="str">
        <f t="shared" ref="E1499:E1532" si="456">"00"</f>
        <v>00</v>
      </c>
      <c r="F1499" t="str">
        <f t="shared" si="455"/>
        <v>999</v>
      </c>
      <c r="G1499">
        <v>5</v>
      </c>
      <c r="H1499" t="str">
        <f>"99"</f>
        <v>99</v>
      </c>
      <c r="I1499" t="str">
        <f t="shared" si="449"/>
        <v>0</v>
      </c>
      <c r="J1499" t="str">
        <f t="shared" si="450"/>
        <v>00</v>
      </c>
      <c r="K1499">
        <v>20150430</v>
      </c>
      <c r="L1499" t="str">
        <f>"014962"</f>
        <v>014962</v>
      </c>
      <c r="M1499" t="str">
        <f>"00263"</f>
        <v>00263</v>
      </c>
      <c r="N1499" t="s">
        <v>852</v>
      </c>
      <c r="O1499" s="1">
        <v>1560.15</v>
      </c>
      <c r="Q1499" t="s">
        <v>33</v>
      </c>
      <c r="R1499" t="s">
        <v>34</v>
      </c>
      <c r="S1499" t="s">
        <v>35</v>
      </c>
      <c r="T1499" t="s">
        <v>35</v>
      </c>
      <c r="U1499" t="s">
        <v>34</v>
      </c>
      <c r="V1499" t="str">
        <f>""</f>
        <v/>
      </c>
      <c r="W1499">
        <v>20150429</v>
      </c>
      <c r="X1499" t="s">
        <v>321</v>
      </c>
      <c r="Y1499" t="s">
        <v>271</v>
      </c>
      <c r="Z1499" t="s">
        <v>271</v>
      </c>
      <c r="AA1499">
        <v>0</v>
      </c>
      <c r="AB1499" t="s">
        <v>142</v>
      </c>
      <c r="AC1499" t="s">
        <v>143</v>
      </c>
      <c r="AD1499" t="s">
        <v>40</v>
      </c>
      <c r="AE1499" t="str">
        <f t="shared" si="451"/>
        <v>04</v>
      </c>
      <c r="AF1499" t="s">
        <v>40</v>
      </c>
    </row>
    <row r="1500" spans="1:32" x14ac:dyDescent="0.25">
      <c r="A1500">
        <v>5</v>
      </c>
      <c r="B1500">
        <v>263</v>
      </c>
      <c r="C1500" t="str">
        <f>"11"</f>
        <v>11</v>
      </c>
      <c r="D1500">
        <v>6399</v>
      </c>
      <c r="E1500" t="str">
        <f t="shared" si="456"/>
        <v>00</v>
      </c>
      <c r="F1500" t="str">
        <f t="shared" si="455"/>
        <v>999</v>
      </c>
      <c r="G1500">
        <v>5</v>
      </c>
      <c r="H1500" t="str">
        <f>"25"</f>
        <v>25</v>
      </c>
      <c r="I1500" t="str">
        <f t="shared" si="449"/>
        <v>0</v>
      </c>
      <c r="J1500" t="str">
        <f t="shared" si="450"/>
        <v>00</v>
      </c>
      <c r="K1500">
        <v>20150430</v>
      </c>
      <c r="L1500" t="str">
        <f>"014963"</f>
        <v>014963</v>
      </c>
      <c r="M1500" t="str">
        <f>"00634"</f>
        <v>00634</v>
      </c>
      <c r="N1500" t="s">
        <v>853</v>
      </c>
      <c r="O1500">
        <v>10.31</v>
      </c>
      <c r="Q1500" t="s">
        <v>33</v>
      </c>
      <c r="R1500" t="s">
        <v>34</v>
      </c>
      <c r="S1500" t="s">
        <v>35</v>
      </c>
      <c r="T1500" t="s">
        <v>35</v>
      </c>
      <c r="U1500" t="s">
        <v>34</v>
      </c>
      <c r="V1500" t="str">
        <f>""</f>
        <v/>
      </c>
      <c r="W1500">
        <v>20150428</v>
      </c>
      <c r="X1500" t="s">
        <v>722</v>
      </c>
      <c r="Y1500" t="s">
        <v>723</v>
      </c>
      <c r="Z1500" t="s">
        <v>723</v>
      </c>
      <c r="AA1500">
        <v>0</v>
      </c>
      <c r="AB1500" t="s">
        <v>197</v>
      </c>
      <c r="AC1500" t="s">
        <v>143</v>
      </c>
      <c r="AD1500" t="s">
        <v>40</v>
      </c>
      <c r="AE1500" t="str">
        <f t="shared" si="451"/>
        <v>04</v>
      </c>
      <c r="AF1500" t="s">
        <v>40</v>
      </c>
    </row>
    <row r="1501" spans="1:32" x14ac:dyDescent="0.25">
      <c r="A1501">
        <v>5</v>
      </c>
      <c r="B1501">
        <v>263</v>
      </c>
      <c r="C1501" t="str">
        <f>"11"</f>
        <v>11</v>
      </c>
      <c r="D1501">
        <v>6399</v>
      </c>
      <c r="E1501" t="str">
        <f t="shared" si="456"/>
        <v>00</v>
      </c>
      <c r="F1501" t="str">
        <f t="shared" si="455"/>
        <v>999</v>
      </c>
      <c r="G1501">
        <v>5</v>
      </c>
      <c r="H1501" t="str">
        <f>"25"</f>
        <v>25</v>
      </c>
      <c r="I1501" t="str">
        <f t="shared" si="449"/>
        <v>0</v>
      </c>
      <c r="J1501" t="str">
        <f t="shared" si="450"/>
        <v>00</v>
      </c>
      <c r="K1501">
        <v>20150430</v>
      </c>
      <c r="L1501" t="str">
        <f>"014963"</f>
        <v>014963</v>
      </c>
      <c r="M1501" t="str">
        <f>"00634"</f>
        <v>00634</v>
      </c>
      <c r="N1501" t="s">
        <v>853</v>
      </c>
      <c r="O1501">
        <v>591.13</v>
      </c>
      <c r="Q1501" t="s">
        <v>33</v>
      </c>
      <c r="R1501" t="s">
        <v>34</v>
      </c>
      <c r="S1501" t="s">
        <v>35</v>
      </c>
      <c r="T1501" t="s">
        <v>35</v>
      </c>
      <c r="U1501" t="s">
        <v>34</v>
      </c>
      <c r="V1501" t="str">
        <f>""</f>
        <v/>
      </c>
      <c r="W1501">
        <v>20150428</v>
      </c>
      <c r="X1501" t="s">
        <v>722</v>
      </c>
      <c r="Y1501" t="s">
        <v>723</v>
      </c>
      <c r="Z1501" t="s">
        <v>723</v>
      </c>
      <c r="AA1501">
        <v>0</v>
      </c>
      <c r="AB1501" t="s">
        <v>197</v>
      </c>
      <c r="AC1501" t="s">
        <v>143</v>
      </c>
      <c r="AD1501" t="s">
        <v>40</v>
      </c>
      <c r="AE1501" t="str">
        <f t="shared" si="451"/>
        <v>04</v>
      </c>
      <c r="AF1501" t="s">
        <v>40</v>
      </c>
    </row>
    <row r="1502" spans="1:32" x14ac:dyDescent="0.25">
      <c r="A1502">
        <v>5</v>
      </c>
      <c r="B1502">
        <v>240</v>
      </c>
      <c r="C1502" t="str">
        <f t="shared" ref="C1502:C1509" si="457">"35"</f>
        <v>35</v>
      </c>
      <c r="D1502">
        <v>6341</v>
      </c>
      <c r="E1502" t="str">
        <f t="shared" si="456"/>
        <v>00</v>
      </c>
      <c r="F1502" t="str">
        <f t="shared" si="455"/>
        <v>999</v>
      </c>
      <c r="G1502">
        <v>5</v>
      </c>
      <c r="H1502" t="str">
        <f t="shared" ref="H1502:H1512" si="458">"99"</f>
        <v>99</v>
      </c>
      <c r="I1502" t="str">
        <f t="shared" si="449"/>
        <v>0</v>
      </c>
      <c r="J1502" t="str">
        <f t="shared" si="450"/>
        <v>00</v>
      </c>
      <c r="K1502">
        <v>20150430</v>
      </c>
      <c r="L1502" t="str">
        <f t="shared" ref="L1502:L1508" si="459">"014964"</f>
        <v>014964</v>
      </c>
      <c r="M1502" t="str">
        <f t="shared" ref="M1502:M1508" si="460">"00391"</f>
        <v>00391</v>
      </c>
      <c r="N1502" t="s">
        <v>265</v>
      </c>
      <c r="O1502">
        <v>708.18</v>
      </c>
      <c r="Q1502" t="s">
        <v>33</v>
      </c>
      <c r="R1502" t="s">
        <v>34</v>
      </c>
      <c r="S1502" t="s">
        <v>35</v>
      </c>
      <c r="T1502" t="s">
        <v>35</v>
      </c>
      <c r="U1502" t="s">
        <v>34</v>
      </c>
      <c r="V1502" t="str">
        <f>""</f>
        <v/>
      </c>
      <c r="W1502">
        <v>20150428</v>
      </c>
      <c r="X1502" t="s">
        <v>268</v>
      </c>
      <c r="Y1502" t="s">
        <v>573</v>
      </c>
      <c r="Z1502" t="s">
        <v>573</v>
      </c>
      <c r="AA1502">
        <v>0</v>
      </c>
      <c r="AB1502" t="s">
        <v>238</v>
      </c>
      <c r="AC1502" t="s">
        <v>143</v>
      </c>
      <c r="AD1502" t="s">
        <v>40</v>
      </c>
      <c r="AE1502" t="str">
        <f t="shared" si="451"/>
        <v>04</v>
      </c>
      <c r="AF1502" t="s">
        <v>40</v>
      </c>
    </row>
    <row r="1503" spans="1:32" x14ac:dyDescent="0.25">
      <c r="A1503">
        <v>5</v>
      </c>
      <c r="B1503">
        <v>240</v>
      </c>
      <c r="C1503" t="str">
        <f t="shared" si="457"/>
        <v>35</v>
      </c>
      <c r="D1503">
        <v>6341</v>
      </c>
      <c r="E1503" t="str">
        <f t="shared" si="456"/>
        <v>00</v>
      </c>
      <c r="F1503" t="str">
        <f t="shared" si="455"/>
        <v>999</v>
      </c>
      <c r="G1503">
        <v>5</v>
      </c>
      <c r="H1503" t="str">
        <f t="shared" si="458"/>
        <v>99</v>
      </c>
      <c r="I1503" t="str">
        <f t="shared" si="449"/>
        <v>0</v>
      </c>
      <c r="J1503" t="str">
        <f t="shared" si="450"/>
        <v>00</v>
      </c>
      <c r="K1503">
        <v>20150430</v>
      </c>
      <c r="L1503" t="str">
        <f t="shared" si="459"/>
        <v>014964</v>
      </c>
      <c r="M1503" t="str">
        <f t="shared" si="460"/>
        <v>00391</v>
      </c>
      <c r="N1503" t="s">
        <v>265</v>
      </c>
      <c r="O1503">
        <v>171.68</v>
      </c>
      <c r="Q1503" t="s">
        <v>33</v>
      </c>
      <c r="R1503" t="s">
        <v>34</v>
      </c>
      <c r="S1503" t="s">
        <v>35</v>
      </c>
      <c r="T1503" t="s">
        <v>35</v>
      </c>
      <c r="U1503" t="s">
        <v>34</v>
      </c>
      <c r="V1503" t="str">
        <f>""</f>
        <v/>
      </c>
      <c r="W1503">
        <v>20150428</v>
      </c>
      <c r="X1503" t="s">
        <v>268</v>
      </c>
      <c r="Y1503" t="s">
        <v>573</v>
      </c>
      <c r="Z1503" t="s">
        <v>573</v>
      </c>
      <c r="AA1503">
        <v>0</v>
      </c>
      <c r="AB1503" t="s">
        <v>238</v>
      </c>
      <c r="AC1503" t="s">
        <v>143</v>
      </c>
      <c r="AD1503" t="s">
        <v>40</v>
      </c>
      <c r="AE1503" t="str">
        <f t="shared" si="451"/>
        <v>04</v>
      </c>
      <c r="AF1503" t="s">
        <v>40</v>
      </c>
    </row>
    <row r="1504" spans="1:32" x14ac:dyDescent="0.25">
      <c r="A1504">
        <v>5</v>
      </c>
      <c r="B1504">
        <v>240</v>
      </c>
      <c r="C1504" t="str">
        <f t="shared" si="457"/>
        <v>35</v>
      </c>
      <c r="D1504">
        <v>6341</v>
      </c>
      <c r="E1504" t="str">
        <f t="shared" si="456"/>
        <v>00</v>
      </c>
      <c r="F1504" t="str">
        <f t="shared" si="455"/>
        <v>999</v>
      </c>
      <c r="G1504">
        <v>5</v>
      </c>
      <c r="H1504" t="str">
        <f t="shared" si="458"/>
        <v>99</v>
      </c>
      <c r="I1504" t="str">
        <f t="shared" si="449"/>
        <v>0</v>
      </c>
      <c r="J1504" t="str">
        <f t="shared" si="450"/>
        <v>00</v>
      </c>
      <c r="K1504">
        <v>20150430</v>
      </c>
      <c r="L1504" t="str">
        <f t="shared" si="459"/>
        <v>014964</v>
      </c>
      <c r="M1504" t="str">
        <f t="shared" si="460"/>
        <v>00391</v>
      </c>
      <c r="N1504" t="s">
        <v>265</v>
      </c>
      <c r="O1504" s="1">
        <v>1694.28</v>
      </c>
      <c r="Q1504" t="s">
        <v>33</v>
      </c>
      <c r="R1504" t="s">
        <v>34</v>
      </c>
      <c r="S1504" t="s">
        <v>35</v>
      </c>
      <c r="T1504" t="s">
        <v>35</v>
      </c>
      <c r="U1504" t="s">
        <v>34</v>
      </c>
      <c r="V1504" t="str">
        <f>""</f>
        <v/>
      </c>
      <c r="W1504">
        <v>20150428</v>
      </c>
      <c r="X1504" t="s">
        <v>268</v>
      </c>
      <c r="Y1504" t="s">
        <v>573</v>
      </c>
      <c r="Z1504" t="s">
        <v>573</v>
      </c>
      <c r="AA1504">
        <v>0</v>
      </c>
      <c r="AB1504" t="s">
        <v>238</v>
      </c>
      <c r="AC1504" t="s">
        <v>143</v>
      </c>
      <c r="AD1504" t="s">
        <v>40</v>
      </c>
      <c r="AE1504" t="str">
        <f t="shared" si="451"/>
        <v>04</v>
      </c>
      <c r="AF1504" t="s">
        <v>40</v>
      </c>
    </row>
    <row r="1505" spans="1:32" x14ac:dyDescent="0.25">
      <c r="A1505">
        <v>5</v>
      </c>
      <c r="B1505">
        <v>240</v>
      </c>
      <c r="C1505" t="str">
        <f t="shared" si="457"/>
        <v>35</v>
      </c>
      <c r="D1505">
        <v>6341</v>
      </c>
      <c r="E1505" t="str">
        <f t="shared" si="456"/>
        <v>00</v>
      </c>
      <c r="F1505" t="str">
        <f t="shared" si="455"/>
        <v>999</v>
      </c>
      <c r="G1505">
        <v>5</v>
      </c>
      <c r="H1505" t="str">
        <f t="shared" si="458"/>
        <v>99</v>
      </c>
      <c r="I1505" t="str">
        <f t="shared" si="449"/>
        <v>0</v>
      </c>
      <c r="J1505" t="str">
        <f t="shared" si="450"/>
        <v>00</v>
      </c>
      <c r="K1505">
        <v>20150430</v>
      </c>
      <c r="L1505" t="str">
        <f t="shared" si="459"/>
        <v>014964</v>
      </c>
      <c r="M1505" t="str">
        <f t="shared" si="460"/>
        <v>00391</v>
      </c>
      <c r="N1505" t="s">
        <v>265</v>
      </c>
      <c r="O1505">
        <v>46.04</v>
      </c>
      <c r="Q1505" t="s">
        <v>33</v>
      </c>
      <c r="R1505" t="s">
        <v>34</v>
      </c>
      <c r="S1505" t="s">
        <v>35</v>
      </c>
      <c r="T1505" t="s">
        <v>35</v>
      </c>
      <c r="U1505" t="s">
        <v>34</v>
      </c>
      <c r="V1505" t="str">
        <f>""</f>
        <v/>
      </c>
      <c r="W1505">
        <v>20150428</v>
      </c>
      <c r="X1505" t="s">
        <v>268</v>
      </c>
      <c r="Y1505" t="s">
        <v>573</v>
      </c>
      <c r="Z1505" t="s">
        <v>573</v>
      </c>
      <c r="AA1505">
        <v>0</v>
      </c>
      <c r="AB1505" t="s">
        <v>238</v>
      </c>
      <c r="AC1505" t="s">
        <v>143</v>
      </c>
      <c r="AD1505" t="s">
        <v>40</v>
      </c>
      <c r="AE1505" t="str">
        <f t="shared" si="451"/>
        <v>04</v>
      </c>
      <c r="AF1505" t="s">
        <v>40</v>
      </c>
    </row>
    <row r="1506" spans="1:32" x14ac:dyDescent="0.25">
      <c r="A1506">
        <v>5</v>
      </c>
      <c r="B1506">
        <v>240</v>
      </c>
      <c r="C1506" t="str">
        <f t="shared" si="457"/>
        <v>35</v>
      </c>
      <c r="D1506">
        <v>6341</v>
      </c>
      <c r="E1506" t="str">
        <f t="shared" si="456"/>
        <v>00</v>
      </c>
      <c r="F1506" t="str">
        <f t="shared" si="455"/>
        <v>999</v>
      </c>
      <c r="G1506">
        <v>5</v>
      </c>
      <c r="H1506" t="str">
        <f t="shared" si="458"/>
        <v>99</v>
      </c>
      <c r="I1506" t="str">
        <f t="shared" si="449"/>
        <v>0</v>
      </c>
      <c r="J1506" t="str">
        <f t="shared" si="450"/>
        <v>00</v>
      </c>
      <c r="K1506">
        <v>20150430</v>
      </c>
      <c r="L1506" t="str">
        <f t="shared" si="459"/>
        <v>014964</v>
      </c>
      <c r="M1506" t="str">
        <f t="shared" si="460"/>
        <v>00391</v>
      </c>
      <c r="N1506" t="s">
        <v>265</v>
      </c>
      <c r="O1506">
        <v>190.41</v>
      </c>
      <c r="Q1506" t="s">
        <v>33</v>
      </c>
      <c r="R1506" t="s">
        <v>34</v>
      </c>
      <c r="S1506" t="s">
        <v>35</v>
      </c>
      <c r="T1506" t="s">
        <v>35</v>
      </c>
      <c r="U1506" t="s">
        <v>34</v>
      </c>
      <c r="V1506" t="str">
        <f>""</f>
        <v/>
      </c>
      <c r="W1506">
        <v>20150428</v>
      </c>
      <c r="X1506" t="s">
        <v>268</v>
      </c>
      <c r="Y1506" t="s">
        <v>573</v>
      </c>
      <c r="Z1506" t="s">
        <v>573</v>
      </c>
      <c r="AA1506">
        <v>0</v>
      </c>
      <c r="AB1506" t="s">
        <v>238</v>
      </c>
      <c r="AC1506" t="s">
        <v>143</v>
      </c>
      <c r="AD1506" t="s">
        <v>40</v>
      </c>
      <c r="AE1506" t="str">
        <f t="shared" si="451"/>
        <v>04</v>
      </c>
      <c r="AF1506" t="s">
        <v>40</v>
      </c>
    </row>
    <row r="1507" spans="1:32" x14ac:dyDescent="0.25">
      <c r="A1507">
        <v>5</v>
      </c>
      <c r="B1507">
        <v>240</v>
      </c>
      <c r="C1507" t="str">
        <f t="shared" si="457"/>
        <v>35</v>
      </c>
      <c r="D1507">
        <v>6342</v>
      </c>
      <c r="E1507" t="str">
        <f t="shared" si="456"/>
        <v>00</v>
      </c>
      <c r="F1507" t="str">
        <f t="shared" si="455"/>
        <v>999</v>
      </c>
      <c r="G1507">
        <v>5</v>
      </c>
      <c r="H1507" t="str">
        <f t="shared" si="458"/>
        <v>99</v>
      </c>
      <c r="I1507" t="str">
        <f t="shared" si="449"/>
        <v>0</v>
      </c>
      <c r="J1507" t="str">
        <f t="shared" si="450"/>
        <v>00</v>
      </c>
      <c r="K1507">
        <v>20150430</v>
      </c>
      <c r="L1507" t="str">
        <f t="shared" si="459"/>
        <v>014964</v>
      </c>
      <c r="M1507" t="str">
        <f t="shared" si="460"/>
        <v>00391</v>
      </c>
      <c r="N1507" t="s">
        <v>265</v>
      </c>
      <c r="O1507">
        <v>124.39</v>
      </c>
      <c r="Q1507" t="s">
        <v>33</v>
      </c>
      <c r="R1507" t="s">
        <v>34</v>
      </c>
      <c r="S1507" t="s">
        <v>35</v>
      </c>
      <c r="T1507" t="s">
        <v>35</v>
      </c>
      <c r="U1507" t="s">
        <v>34</v>
      </c>
      <c r="V1507" t="str">
        <f>""</f>
        <v/>
      </c>
      <c r="W1507">
        <v>20150428</v>
      </c>
      <c r="X1507" t="s">
        <v>269</v>
      </c>
      <c r="Y1507" t="s">
        <v>573</v>
      </c>
      <c r="Z1507" t="s">
        <v>573</v>
      </c>
      <c r="AA1507">
        <v>0</v>
      </c>
      <c r="AB1507" t="s">
        <v>238</v>
      </c>
      <c r="AC1507" t="s">
        <v>143</v>
      </c>
      <c r="AD1507" t="s">
        <v>40</v>
      </c>
      <c r="AE1507" t="str">
        <f t="shared" si="451"/>
        <v>04</v>
      </c>
      <c r="AF1507" t="s">
        <v>40</v>
      </c>
    </row>
    <row r="1508" spans="1:32" x14ac:dyDescent="0.25">
      <c r="A1508">
        <v>5</v>
      </c>
      <c r="B1508">
        <v>240</v>
      </c>
      <c r="C1508" t="str">
        <f t="shared" si="457"/>
        <v>35</v>
      </c>
      <c r="D1508">
        <v>6342</v>
      </c>
      <c r="E1508" t="str">
        <f t="shared" si="456"/>
        <v>00</v>
      </c>
      <c r="F1508" t="str">
        <f t="shared" si="455"/>
        <v>999</v>
      </c>
      <c r="G1508">
        <v>5</v>
      </c>
      <c r="H1508" t="str">
        <f t="shared" si="458"/>
        <v>99</v>
      </c>
      <c r="I1508" t="str">
        <f t="shared" si="449"/>
        <v>0</v>
      </c>
      <c r="J1508" t="str">
        <f t="shared" si="450"/>
        <v>00</v>
      </c>
      <c r="K1508">
        <v>20150430</v>
      </c>
      <c r="L1508" t="str">
        <f t="shared" si="459"/>
        <v>014964</v>
      </c>
      <c r="M1508" t="str">
        <f t="shared" si="460"/>
        <v>00391</v>
      </c>
      <c r="N1508" t="s">
        <v>265</v>
      </c>
      <c r="O1508">
        <v>231.82</v>
      </c>
      <c r="Q1508" t="s">
        <v>33</v>
      </c>
      <c r="R1508" t="s">
        <v>34</v>
      </c>
      <c r="S1508" t="s">
        <v>35</v>
      </c>
      <c r="T1508" t="s">
        <v>35</v>
      </c>
      <c r="U1508" t="s">
        <v>34</v>
      </c>
      <c r="V1508" t="str">
        <f>""</f>
        <v/>
      </c>
      <c r="W1508">
        <v>20150428</v>
      </c>
      <c r="X1508" t="s">
        <v>269</v>
      </c>
      <c r="Y1508" t="s">
        <v>573</v>
      </c>
      <c r="Z1508" t="s">
        <v>573</v>
      </c>
      <c r="AA1508">
        <v>0</v>
      </c>
      <c r="AB1508" t="s">
        <v>238</v>
      </c>
      <c r="AC1508" t="s">
        <v>143</v>
      </c>
      <c r="AD1508" t="s">
        <v>40</v>
      </c>
      <c r="AE1508" t="str">
        <f t="shared" si="451"/>
        <v>04</v>
      </c>
      <c r="AF1508" t="s">
        <v>40</v>
      </c>
    </row>
    <row r="1509" spans="1:32" x14ac:dyDescent="0.25">
      <c r="A1509">
        <v>5</v>
      </c>
      <c r="B1509">
        <v>240</v>
      </c>
      <c r="C1509" t="str">
        <f t="shared" si="457"/>
        <v>35</v>
      </c>
      <c r="D1509">
        <v>6299</v>
      </c>
      <c r="E1509" t="str">
        <f t="shared" si="456"/>
        <v>00</v>
      </c>
      <c r="F1509" t="str">
        <f t="shared" si="455"/>
        <v>999</v>
      </c>
      <c r="G1509">
        <v>5</v>
      </c>
      <c r="H1509" t="str">
        <f t="shared" si="458"/>
        <v>99</v>
      </c>
      <c r="I1509" t="str">
        <f t="shared" si="449"/>
        <v>0</v>
      </c>
      <c r="J1509" t="str">
        <f t="shared" si="450"/>
        <v>00</v>
      </c>
      <c r="K1509">
        <v>20150430</v>
      </c>
      <c r="L1509" t="str">
        <f>"014965"</f>
        <v>014965</v>
      </c>
      <c r="M1509" t="str">
        <f>"00577"</f>
        <v>00577</v>
      </c>
      <c r="N1509" t="s">
        <v>251</v>
      </c>
      <c r="O1509">
        <v>25.63</v>
      </c>
      <c r="Q1509" t="s">
        <v>33</v>
      </c>
      <c r="R1509" t="s">
        <v>34</v>
      </c>
      <c r="S1509" t="s">
        <v>35</v>
      </c>
      <c r="T1509" t="s">
        <v>35</v>
      </c>
      <c r="U1509" t="s">
        <v>34</v>
      </c>
      <c r="V1509" t="str">
        <f>""</f>
        <v/>
      </c>
      <c r="W1509">
        <v>20150430</v>
      </c>
      <c r="X1509" t="s">
        <v>252</v>
      </c>
      <c r="Y1509" t="s">
        <v>253</v>
      </c>
      <c r="Z1509" t="s">
        <v>253</v>
      </c>
      <c r="AA1509">
        <v>0</v>
      </c>
      <c r="AB1509" t="s">
        <v>238</v>
      </c>
      <c r="AC1509" t="s">
        <v>143</v>
      </c>
      <c r="AD1509" t="s">
        <v>40</v>
      </c>
      <c r="AE1509" t="str">
        <f t="shared" si="451"/>
        <v>04</v>
      </c>
      <c r="AF1509" t="s">
        <v>40</v>
      </c>
    </row>
    <row r="1510" spans="1:32" x14ac:dyDescent="0.25">
      <c r="A1510">
        <v>5</v>
      </c>
      <c r="B1510">
        <v>420</v>
      </c>
      <c r="C1510" t="str">
        <f>"51"</f>
        <v>51</v>
      </c>
      <c r="D1510">
        <v>6299</v>
      </c>
      <c r="E1510" t="str">
        <f t="shared" si="456"/>
        <v>00</v>
      </c>
      <c r="F1510" t="str">
        <f t="shared" si="455"/>
        <v>999</v>
      </c>
      <c r="G1510">
        <v>5</v>
      </c>
      <c r="H1510" t="str">
        <f t="shared" si="458"/>
        <v>99</v>
      </c>
      <c r="I1510" t="str">
        <f t="shared" si="449"/>
        <v>0</v>
      </c>
      <c r="J1510" t="str">
        <f t="shared" si="450"/>
        <v>00</v>
      </c>
      <c r="K1510">
        <v>20150430</v>
      </c>
      <c r="L1510" t="str">
        <f>"014965"</f>
        <v>014965</v>
      </c>
      <c r="M1510" t="str">
        <f>"00577"</f>
        <v>00577</v>
      </c>
      <c r="N1510" t="s">
        <v>251</v>
      </c>
      <c r="O1510">
        <v>63.72</v>
      </c>
      <c r="Q1510" t="s">
        <v>33</v>
      </c>
      <c r="R1510" t="s">
        <v>34</v>
      </c>
      <c r="S1510" t="s">
        <v>35</v>
      </c>
      <c r="T1510" t="s">
        <v>35</v>
      </c>
      <c r="U1510" t="s">
        <v>34</v>
      </c>
      <c r="V1510" t="str">
        <f>""</f>
        <v/>
      </c>
      <c r="W1510">
        <v>20150430</v>
      </c>
      <c r="X1510" t="s">
        <v>203</v>
      </c>
      <c r="Y1510" t="s">
        <v>253</v>
      </c>
      <c r="Z1510" t="s">
        <v>253</v>
      </c>
      <c r="AA1510">
        <v>0</v>
      </c>
      <c r="AB1510" t="s">
        <v>142</v>
      </c>
      <c r="AC1510" t="s">
        <v>143</v>
      </c>
      <c r="AD1510" t="s">
        <v>40</v>
      </c>
      <c r="AE1510" t="str">
        <f t="shared" si="451"/>
        <v>04</v>
      </c>
      <c r="AF1510" t="s">
        <v>40</v>
      </c>
    </row>
    <row r="1511" spans="1:32" x14ac:dyDescent="0.25">
      <c r="A1511">
        <v>5</v>
      </c>
      <c r="B1511">
        <v>420</v>
      </c>
      <c r="C1511" t="str">
        <f>"51"</f>
        <v>51</v>
      </c>
      <c r="D1511">
        <v>6319</v>
      </c>
      <c r="E1511" t="str">
        <f t="shared" si="456"/>
        <v>00</v>
      </c>
      <c r="F1511" t="str">
        <f t="shared" si="455"/>
        <v>999</v>
      </c>
      <c r="G1511">
        <v>5</v>
      </c>
      <c r="H1511" t="str">
        <f t="shared" si="458"/>
        <v>99</v>
      </c>
      <c r="I1511" t="str">
        <f t="shared" si="449"/>
        <v>0</v>
      </c>
      <c r="J1511" t="str">
        <f t="shared" si="450"/>
        <v>00</v>
      </c>
      <c r="K1511">
        <v>20150507</v>
      </c>
      <c r="L1511" t="str">
        <f>"014966"</f>
        <v>014966</v>
      </c>
      <c r="M1511" t="str">
        <f>"00044"</f>
        <v>00044</v>
      </c>
      <c r="N1511" t="s">
        <v>644</v>
      </c>
      <c r="O1511">
        <v>39.04</v>
      </c>
      <c r="Q1511" t="s">
        <v>33</v>
      </c>
      <c r="R1511" t="s">
        <v>34</v>
      </c>
      <c r="S1511" t="s">
        <v>35</v>
      </c>
      <c r="T1511" t="s">
        <v>35</v>
      </c>
      <c r="U1511" t="s">
        <v>34</v>
      </c>
      <c r="V1511" t="str">
        <f>""</f>
        <v/>
      </c>
      <c r="W1511">
        <v>20150505</v>
      </c>
      <c r="X1511" t="s">
        <v>185</v>
      </c>
      <c r="Y1511" t="s">
        <v>854</v>
      </c>
      <c r="Z1511" t="s">
        <v>854</v>
      </c>
      <c r="AA1511">
        <v>0</v>
      </c>
      <c r="AB1511" t="s">
        <v>142</v>
      </c>
      <c r="AC1511" t="s">
        <v>143</v>
      </c>
      <c r="AD1511" t="s">
        <v>40</v>
      </c>
      <c r="AE1511" t="str">
        <f t="shared" ref="AE1511:AE1542" si="461">"05"</f>
        <v>05</v>
      </c>
      <c r="AF1511" t="s">
        <v>40</v>
      </c>
    </row>
    <row r="1512" spans="1:32" x14ac:dyDescent="0.25">
      <c r="A1512">
        <v>5</v>
      </c>
      <c r="B1512">
        <v>420</v>
      </c>
      <c r="C1512" t="str">
        <f>"51"</f>
        <v>51</v>
      </c>
      <c r="D1512">
        <v>6319</v>
      </c>
      <c r="E1512" t="str">
        <f t="shared" si="456"/>
        <v>00</v>
      </c>
      <c r="F1512" t="str">
        <f t="shared" si="455"/>
        <v>999</v>
      </c>
      <c r="G1512">
        <v>5</v>
      </c>
      <c r="H1512" t="str">
        <f t="shared" si="458"/>
        <v>99</v>
      </c>
      <c r="I1512" t="str">
        <f t="shared" si="449"/>
        <v>0</v>
      </c>
      <c r="J1512" t="str">
        <f t="shared" si="450"/>
        <v>00</v>
      </c>
      <c r="K1512">
        <v>20150507</v>
      </c>
      <c r="L1512" t="str">
        <f>"014966"</f>
        <v>014966</v>
      </c>
      <c r="M1512" t="str">
        <f>"00044"</f>
        <v>00044</v>
      </c>
      <c r="N1512" t="s">
        <v>644</v>
      </c>
      <c r="O1512" s="1">
        <v>1066</v>
      </c>
      <c r="Q1512" t="s">
        <v>33</v>
      </c>
      <c r="R1512" t="s">
        <v>34</v>
      </c>
      <c r="S1512" t="s">
        <v>35</v>
      </c>
      <c r="T1512" t="s">
        <v>35</v>
      </c>
      <c r="U1512" t="s">
        <v>34</v>
      </c>
      <c r="V1512" t="str">
        <f>""</f>
        <v/>
      </c>
      <c r="W1512">
        <v>20150505</v>
      </c>
      <c r="X1512" t="s">
        <v>185</v>
      </c>
      <c r="Y1512" t="s">
        <v>854</v>
      </c>
      <c r="Z1512" t="s">
        <v>854</v>
      </c>
      <c r="AA1512">
        <v>0</v>
      </c>
      <c r="AB1512" t="s">
        <v>142</v>
      </c>
      <c r="AC1512" t="s">
        <v>143</v>
      </c>
      <c r="AD1512" t="s">
        <v>40</v>
      </c>
      <c r="AE1512" t="str">
        <f t="shared" si="461"/>
        <v>05</v>
      </c>
      <c r="AF1512" t="s">
        <v>40</v>
      </c>
    </row>
    <row r="1513" spans="1:32" x14ac:dyDescent="0.25">
      <c r="A1513">
        <v>5</v>
      </c>
      <c r="B1513">
        <v>420</v>
      </c>
      <c r="C1513" t="str">
        <f>"11"</f>
        <v>11</v>
      </c>
      <c r="D1513">
        <v>6399</v>
      </c>
      <c r="E1513" t="str">
        <f t="shared" si="456"/>
        <v>00</v>
      </c>
      <c r="F1513" t="str">
        <f>"101"</f>
        <v>101</v>
      </c>
      <c r="G1513">
        <v>5</v>
      </c>
      <c r="H1513" t="str">
        <f>"11"</f>
        <v>11</v>
      </c>
      <c r="I1513" t="str">
        <f t="shared" si="449"/>
        <v>0</v>
      </c>
      <c r="J1513" t="str">
        <f>"22"</f>
        <v>22</v>
      </c>
      <c r="K1513">
        <v>20150507</v>
      </c>
      <c r="L1513" t="str">
        <f>"014967"</f>
        <v>014967</v>
      </c>
      <c r="M1513" t="str">
        <f>"00103"</f>
        <v>00103</v>
      </c>
      <c r="N1513" t="s">
        <v>855</v>
      </c>
      <c r="O1513">
        <v>15.91</v>
      </c>
      <c r="Q1513" t="s">
        <v>33</v>
      </c>
      <c r="R1513" t="s">
        <v>34</v>
      </c>
      <c r="S1513" t="s">
        <v>35</v>
      </c>
      <c r="T1513" t="s">
        <v>35</v>
      </c>
      <c r="U1513" t="s">
        <v>34</v>
      </c>
      <c r="V1513" t="str">
        <f>""</f>
        <v/>
      </c>
      <c r="W1513">
        <v>20150505</v>
      </c>
      <c r="X1513" t="s">
        <v>510</v>
      </c>
      <c r="Y1513" t="s">
        <v>856</v>
      </c>
      <c r="Z1513" t="s">
        <v>856</v>
      </c>
      <c r="AA1513">
        <v>0</v>
      </c>
      <c r="AB1513" t="s">
        <v>142</v>
      </c>
      <c r="AC1513" t="s">
        <v>41</v>
      </c>
      <c r="AD1513" t="s">
        <v>40</v>
      </c>
      <c r="AE1513" t="str">
        <f t="shared" si="461"/>
        <v>05</v>
      </c>
      <c r="AF1513" t="s">
        <v>40</v>
      </c>
    </row>
    <row r="1514" spans="1:32" x14ac:dyDescent="0.25">
      <c r="A1514">
        <v>5</v>
      </c>
      <c r="B1514">
        <v>240</v>
      </c>
      <c r="C1514" t="str">
        <f>"35"</f>
        <v>35</v>
      </c>
      <c r="D1514">
        <v>6319</v>
      </c>
      <c r="E1514" t="str">
        <f t="shared" si="456"/>
        <v>00</v>
      </c>
      <c r="F1514" t="str">
        <f>"999"</f>
        <v>999</v>
      </c>
      <c r="G1514">
        <v>5</v>
      </c>
      <c r="H1514" t="str">
        <f>"99"</f>
        <v>99</v>
      </c>
      <c r="I1514" t="str">
        <f t="shared" si="449"/>
        <v>0</v>
      </c>
      <c r="J1514" t="str">
        <f t="shared" ref="J1514:J1521" si="462">"00"</f>
        <v>00</v>
      </c>
      <c r="K1514">
        <v>20150507</v>
      </c>
      <c r="L1514" t="str">
        <f>"014968"</f>
        <v>014968</v>
      </c>
      <c r="M1514" t="str">
        <f>"00391"</f>
        <v>00391</v>
      </c>
      <c r="N1514" t="s">
        <v>857</v>
      </c>
      <c r="O1514">
        <v>76.41</v>
      </c>
      <c r="Q1514" t="s">
        <v>33</v>
      </c>
      <c r="R1514" t="s">
        <v>34</v>
      </c>
      <c r="S1514" t="s">
        <v>35</v>
      </c>
      <c r="T1514" t="s">
        <v>35</v>
      </c>
      <c r="U1514" t="s">
        <v>34</v>
      </c>
      <c r="V1514" t="str">
        <f>""</f>
        <v/>
      </c>
      <c r="W1514">
        <v>20150505</v>
      </c>
      <c r="X1514" t="s">
        <v>267</v>
      </c>
      <c r="Y1514" t="s">
        <v>573</v>
      </c>
      <c r="Z1514" t="s">
        <v>573</v>
      </c>
      <c r="AA1514">
        <v>0</v>
      </c>
      <c r="AB1514" t="s">
        <v>238</v>
      </c>
      <c r="AC1514" t="s">
        <v>143</v>
      </c>
      <c r="AD1514" t="s">
        <v>40</v>
      </c>
      <c r="AE1514" t="str">
        <f t="shared" si="461"/>
        <v>05</v>
      </c>
      <c r="AF1514" t="s">
        <v>40</v>
      </c>
    </row>
    <row r="1515" spans="1:32" x14ac:dyDescent="0.25">
      <c r="A1515">
        <v>5</v>
      </c>
      <c r="B1515">
        <v>240</v>
      </c>
      <c r="C1515" t="str">
        <f>"35"</f>
        <v>35</v>
      </c>
      <c r="D1515">
        <v>6341</v>
      </c>
      <c r="E1515" t="str">
        <f t="shared" si="456"/>
        <v>00</v>
      </c>
      <c r="F1515" t="str">
        <f>"999"</f>
        <v>999</v>
      </c>
      <c r="G1515">
        <v>5</v>
      </c>
      <c r="H1515" t="str">
        <f>"99"</f>
        <v>99</v>
      </c>
      <c r="I1515" t="str">
        <f t="shared" si="449"/>
        <v>0</v>
      </c>
      <c r="J1515" t="str">
        <f t="shared" si="462"/>
        <v>00</v>
      </c>
      <c r="K1515">
        <v>20150507</v>
      </c>
      <c r="L1515" t="str">
        <f>"014968"</f>
        <v>014968</v>
      </c>
      <c r="M1515" t="str">
        <f>"00391"</f>
        <v>00391</v>
      </c>
      <c r="N1515" t="s">
        <v>857</v>
      </c>
      <c r="O1515">
        <v>262.91000000000003</v>
      </c>
      <c r="Q1515" t="s">
        <v>33</v>
      </c>
      <c r="R1515" t="s">
        <v>34</v>
      </c>
      <c r="S1515" t="s">
        <v>35</v>
      </c>
      <c r="T1515" t="s">
        <v>35</v>
      </c>
      <c r="U1515" t="s">
        <v>34</v>
      </c>
      <c r="V1515" t="str">
        <f>""</f>
        <v/>
      </c>
      <c r="W1515">
        <v>20150505</v>
      </c>
      <c r="X1515" t="s">
        <v>268</v>
      </c>
      <c r="Y1515" t="s">
        <v>573</v>
      </c>
      <c r="Z1515" t="s">
        <v>573</v>
      </c>
      <c r="AA1515">
        <v>0</v>
      </c>
      <c r="AB1515" t="s">
        <v>238</v>
      </c>
      <c r="AC1515" t="s">
        <v>143</v>
      </c>
      <c r="AD1515" t="s">
        <v>40</v>
      </c>
      <c r="AE1515" t="str">
        <f t="shared" si="461"/>
        <v>05</v>
      </c>
      <c r="AF1515" t="s">
        <v>40</v>
      </c>
    </row>
    <row r="1516" spans="1:32" x14ac:dyDescent="0.25">
      <c r="A1516">
        <v>5</v>
      </c>
      <c r="B1516">
        <v>240</v>
      </c>
      <c r="C1516" t="str">
        <f>"35"</f>
        <v>35</v>
      </c>
      <c r="D1516">
        <v>6341</v>
      </c>
      <c r="E1516" t="str">
        <f t="shared" si="456"/>
        <v>00</v>
      </c>
      <c r="F1516" t="str">
        <f>"999"</f>
        <v>999</v>
      </c>
      <c r="G1516">
        <v>5</v>
      </c>
      <c r="H1516" t="str">
        <f>"99"</f>
        <v>99</v>
      </c>
      <c r="I1516" t="str">
        <f t="shared" si="449"/>
        <v>0</v>
      </c>
      <c r="J1516" t="str">
        <f t="shared" si="462"/>
        <v>00</v>
      </c>
      <c r="K1516">
        <v>20150507</v>
      </c>
      <c r="L1516" t="str">
        <f>"014968"</f>
        <v>014968</v>
      </c>
      <c r="M1516" t="str">
        <f>"00391"</f>
        <v>00391</v>
      </c>
      <c r="N1516" t="s">
        <v>857</v>
      </c>
      <c r="O1516" s="1">
        <v>1310.42</v>
      </c>
      <c r="Q1516" t="s">
        <v>33</v>
      </c>
      <c r="R1516" t="s">
        <v>34</v>
      </c>
      <c r="S1516" t="s">
        <v>35</v>
      </c>
      <c r="T1516" t="s">
        <v>35</v>
      </c>
      <c r="U1516" t="s">
        <v>34</v>
      </c>
      <c r="V1516" t="str">
        <f>""</f>
        <v/>
      </c>
      <c r="W1516">
        <v>20150505</v>
      </c>
      <c r="X1516" t="s">
        <v>268</v>
      </c>
      <c r="Y1516" t="s">
        <v>573</v>
      </c>
      <c r="Z1516" t="s">
        <v>573</v>
      </c>
      <c r="AA1516">
        <v>0</v>
      </c>
      <c r="AB1516" t="s">
        <v>238</v>
      </c>
      <c r="AC1516" t="s">
        <v>143</v>
      </c>
      <c r="AD1516" t="s">
        <v>40</v>
      </c>
      <c r="AE1516" t="str">
        <f t="shared" si="461"/>
        <v>05</v>
      </c>
      <c r="AF1516" t="s">
        <v>40</v>
      </c>
    </row>
    <row r="1517" spans="1:32" x14ac:dyDescent="0.25">
      <c r="A1517">
        <v>5</v>
      </c>
      <c r="B1517">
        <v>420</v>
      </c>
      <c r="C1517" t="str">
        <f>"11"</f>
        <v>11</v>
      </c>
      <c r="D1517">
        <v>6399</v>
      </c>
      <c r="E1517" t="str">
        <f t="shared" si="456"/>
        <v>00</v>
      </c>
      <c r="F1517" t="str">
        <f>"001"</f>
        <v>001</v>
      </c>
      <c r="G1517">
        <v>5</v>
      </c>
      <c r="H1517" t="str">
        <f>"11"</f>
        <v>11</v>
      </c>
      <c r="I1517" t="str">
        <f t="shared" si="449"/>
        <v>0</v>
      </c>
      <c r="J1517" t="str">
        <f t="shared" si="462"/>
        <v>00</v>
      </c>
      <c r="K1517">
        <v>20150507</v>
      </c>
      <c r="L1517" t="str">
        <f>"014969"</f>
        <v>014969</v>
      </c>
      <c r="M1517" t="str">
        <f>"00533"</f>
        <v>00533</v>
      </c>
      <c r="N1517" t="s">
        <v>61</v>
      </c>
      <c r="O1517">
        <v>211.8</v>
      </c>
      <c r="Q1517" t="s">
        <v>33</v>
      </c>
      <c r="R1517" t="s">
        <v>34</v>
      </c>
      <c r="S1517" t="s">
        <v>35</v>
      </c>
      <c r="T1517" t="s">
        <v>35</v>
      </c>
      <c r="U1517" t="s">
        <v>34</v>
      </c>
      <c r="V1517" t="str">
        <f>""</f>
        <v/>
      </c>
      <c r="W1517">
        <v>20150506</v>
      </c>
      <c r="X1517" t="s">
        <v>239</v>
      </c>
      <c r="Y1517" t="s">
        <v>858</v>
      </c>
      <c r="Z1517" t="s">
        <v>858</v>
      </c>
      <c r="AA1517">
        <v>0</v>
      </c>
      <c r="AB1517" t="s">
        <v>142</v>
      </c>
      <c r="AC1517" t="s">
        <v>41</v>
      </c>
      <c r="AD1517" t="s">
        <v>40</v>
      </c>
      <c r="AE1517" t="str">
        <f t="shared" si="461"/>
        <v>05</v>
      </c>
      <c r="AF1517" t="s">
        <v>40</v>
      </c>
    </row>
    <row r="1518" spans="1:32" x14ac:dyDescent="0.25">
      <c r="A1518">
        <v>5</v>
      </c>
      <c r="B1518">
        <v>420</v>
      </c>
      <c r="C1518" t="str">
        <f>"11"</f>
        <v>11</v>
      </c>
      <c r="D1518">
        <v>6399</v>
      </c>
      <c r="E1518" t="str">
        <f t="shared" si="456"/>
        <v>00</v>
      </c>
      <c r="F1518" t="str">
        <f>"001"</f>
        <v>001</v>
      </c>
      <c r="G1518">
        <v>5</v>
      </c>
      <c r="H1518" t="str">
        <f>"11"</f>
        <v>11</v>
      </c>
      <c r="I1518" t="str">
        <f t="shared" si="449"/>
        <v>0</v>
      </c>
      <c r="J1518" t="str">
        <f t="shared" si="462"/>
        <v>00</v>
      </c>
      <c r="K1518">
        <v>20150507</v>
      </c>
      <c r="L1518" t="str">
        <f>"014969"</f>
        <v>014969</v>
      </c>
      <c r="M1518" t="str">
        <f>"00533"</f>
        <v>00533</v>
      </c>
      <c r="N1518" t="s">
        <v>61</v>
      </c>
      <c r="O1518">
        <v>256.2</v>
      </c>
      <c r="Q1518" t="s">
        <v>33</v>
      </c>
      <c r="R1518" t="s">
        <v>34</v>
      </c>
      <c r="S1518" t="s">
        <v>35</v>
      </c>
      <c r="T1518" t="s">
        <v>35</v>
      </c>
      <c r="U1518" t="s">
        <v>34</v>
      </c>
      <c r="V1518" t="str">
        <f>""</f>
        <v/>
      </c>
      <c r="W1518">
        <v>20150506</v>
      </c>
      <c r="X1518" t="s">
        <v>239</v>
      </c>
      <c r="Y1518" t="s">
        <v>858</v>
      </c>
      <c r="Z1518" t="s">
        <v>858</v>
      </c>
      <c r="AA1518">
        <v>0</v>
      </c>
      <c r="AB1518" t="s">
        <v>142</v>
      </c>
      <c r="AC1518" t="s">
        <v>41</v>
      </c>
      <c r="AD1518" t="s">
        <v>40</v>
      </c>
      <c r="AE1518" t="str">
        <f t="shared" si="461"/>
        <v>05</v>
      </c>
      <c r="AF1518" t="s">
        <v>40</v>
      </c>
    </row>
    <row r="1519" spans="1:32" x14ac:dyDescent="0.25">
      <c r="A1519">
        <v>5</v>
      </c>
      <c r="B1519">
        <v>420</v>
      </c>
      <c r="C1519" t="str">
        <f>"34"</f>
        <v>34</v>
      </c>
      <c r="D1519">
        <v>6249</v>
      </c>
      <c r="E1519" t="str">
        <f t="shared" si="456"/>
        <v>00</v>
      </c>
      <c r="F1519" t="str">
        <f>"999"</f>
        <v>999</v>
      </c>
      <c r="G1519">
        <v>5</v>
      </c>
      <c r="H1519" t="str">
        <f>"99"</f>
        <v>99</v>
      </c>
      <c r="I1519" t="str">
        <f t="shared" si="449"/>
        <v>0</v>
      </c>
      <c r="J1519" t="str">
        <f t="shared" si="462"/>
        <v>00</v>
      </c>
      <c r="K1519">
        <v>20150507</v>
      </c>
      <c r="L1519" t="str">
        <f>"014970"</f>
        <v>014970</v>
      </c>
      <c r="M1519" t="str">
        <f>"00554"</f>
        <v>00554</v>
      </c>
      <c r="N1519" t="s">
        <v>483</v>
      </c>
      <c r="O1519">
        <v>77.260000000000005</v>
      </c>
      <c r="Q1519" t="s">
        <v>33</v>
      </c>
      <c r="R1519" t="s">
        <v>34</v>
      </c>
      <c r="S1519" t="s">
        <v>35</v>
      </c>
      <c r="T1519" t="s">
        <v>35</v>
      </c>
      <c r="U1519" t="s">
        <v>34</v>
      </c>
      <c r="V1519" t="str">
        <f>""</f>
        <v/>
      </c>
      <c r="W1519">
        <v>20150505</v>
      </c>
      <c r="X1519" t="s">
        <v>484</v>
      </c>
      <c r="Y1519" t="s">
        <v>859</v>
      </c>
      <c r="Z1519" t="s">
        <v>859</v>
      </c>
      <c r="AA1519">
        <v>0</v>
      </c>
      <c r="AB1519" t="s">
        <v>142</v>
      </c>
      <c r="AC1519" t="s">
        <v>143</v>
      </c>
      <c r="AD1519" t="s">
        <v>40</v>
      </c>
      <c r="AE1519" t="str">
        <f t="shared" si="461"/>
        <v>05</v>
      </c>
      <c r="AF1519" t="s">
        <v>40</v>
      </c>
    </row>
    <row r="1520" spans="1:32" x14ac:dyDescent="0.25">
      <c r="A1520">
        <v>5</v>
      </c>
      <c r="B1520">
        <v>420</v>
      </c>
      <c r="C1520" t="str">
        <f>"11"</f>
        <v>11</v>
      </c>
      <c r="D1520">
        <v>6269</v>
      </c>
      <c r="E1520" t="str">
        <f t="shared" si="456"/>
        <v>00</v>
      </c>
      <c r="F1520" t="str">
        <f>"999"</f>
        <v>999</v>
      </c>
      <c r="G1520">
        <v>5</v>
      </c>
      <c r="H1520" t="str">
        <f>"11"</f>
        <v>11</v>
      </c>
      <c r="I1520" t="str">
        <f t="shared" si="449"/>
        <v>0</v>
      </c>
      <c r="J1520" t="str">
        <f t="shared" si="462"/>
        <v>00</v>
      </c>
      <c r="K1520">
        <v>20150507</v>
      </c>
      <c r="L1520" t="str">
        <f>"014971"</f>
        <v>014971</v>
      </c>
      <c r="M1520" t="str">
        <f>"00628"</f>
        <v>00628</v>
      </c>
      <c r="N1520" t="s">
        <v>212</v>
      </c>
      <c r="O1520">
        <v>424.28</v>
      </c>
      <c r="Q1520" t="s">
        <v>33</v>
      </c>
      <c r="R1520" t="s">
        <v>34</v>
      </c>
      <c r="S1520" t="s">
        <v>35</v>
      </c>
      <c r="T1520" t="s">
        <v>35</v>
      </c>
      <c r="U1520" t="s">
        <v>34</v>
      </c>
      <c r="V1520" t="str">
        <f>""</f>
        <v/>
      </c>
      <c r="W1520">
        <v>20150506</v>
      </c>
      <c r="X1520" t="s">
        <v>213</v>
      </c>
      <c r="Y1520" t="s">
        <v>231</v>
      </c>
      <c r="Z1520" t="s">
        <v>231</v>
      </c>
      <c r="AA1520">
        <v>0</v>
      </c>
      <c r="AB1520" t="s">
        <v>142</v>
      </c>
      <c r="AC1520" t="s">
        <v>143</v>
      </c>
      <c r="AD1520" t="s">
        <v>40</v>
      </c>
      <c r="AE1520" t="str">
        <f t="shared" si="461"/>
        <v>05</v>
      </c>
      <c r="AF1520" t="s">
        <v>40</v>
      </c>
    </row>
    <row r="1521" spans="1:32" x14ac:dyDescent="0.25">
      <c r="A1521">
        <v>5</v>
      </c>
      <c r="B1521">
        <v>211</v>
      </c>
      <c r="C1521" t="str">
        <f>"11"</f>
        <v>11</v>
      </c>
      <c r="D1521">
        <v>6399</v>
      </c>
      <c r="E1521" t="str">
        <f t="shared" si="456"/>
        <v>00</v>
      </c>
      <c r="F1521" t="str">
        <f>"101"</f>
        <v>101</v>
      </c>
      <c r="G1521">
        <v>5</v>
      </c>
      <c r="H1521" t="str">
        <f>"30"</f>
        <v>30</v>
      </c>
      <c r="I1521" t="str">
        <f t="shared" si="449"/>
        <v>0</v>
      </c>
      <c r="J1521" t="str">
        <f t="shared" si="462"/>
        <v>00</v>
      </c>
      <c r="K1521">
        <v>20150507</v>
      </c>
      <c r="L1521" t="str">
        <f>"014972"</f>
        <v>014972</v>
      </c>
      <c r="M1521" t="str">
        <f>"00642"</f>
        <v>00642</v>
      </c>
      <c r="N1521" t="s">
        <v>860</v>
      </c>
      <c r="O1521">
        <v>947.72</v>
      </c>
      <c r="Q1521" t="s">
        <v>33</v>
      </c>
      <c r="R1521" t="s">
        <v>34</v>
      </c>
      <c r="S1521" t="s">
        <v>35</v>
      </c>
      <c r="T1521" t="s">
        <v>35</v>
      </c>
      <c r="U1521" t="s">
        <v>34</v>
      </c>
      <c r="V1521" t="str">
        <f>""</f>
        <v/>
      </c>
      <c r="W1521">
        <v>20150505</v>
      </c>
      <c r="X1521" t="s">
        <v>422</v>
      </c>
      <c r="Y1521" t="s">
        <v>810</v>
      </c>
      <c r="Z1521" t="s">
        <v>810</v>
      </c>
      <c r="AA1521">
        <v>0</v>
      </c>
      <c r="AB1521" t="s">
        <v>174</v>
      </c>
      <c r="AC1521" t="s">
        <v>41</v>
      </c>
      <c r="AD1521" t="s">
        <v>40</v>
      </c>
      <c r="AE1521" t="str">
        <f t="shared" si="461"/>
        <v>05</v>
      </c>
      <c r="AF1521" t="s">
        <v>40</v>
      </c>
    </row>
    <row r="1522" spans="1:32" x14ac:dyDescent="0.25">
      <c r="A1522">
        <v>5</v>
      </c>
      <c r="B1522">
        <v>211</v>
      </c>
      <c r="C1522" t="str">
        <f>"11"</f>
        <v>11</v>
      </c>
      <c r="D1522">
        <v>6399</v>
      </c>
      <c r="E1522" t="str">
        <f t="shared" si="456"/>
        <v>00</v>
      </c>
      <c r="F1522" t="str">
        <f>"101"</f>
        <v>101</v>
      </c>
      <c r="G1522">
        <v>5</v>
      </c>
      <c r="H1522" t="str">
        <f>"30"</f>
        <v>30</v>
      </c>
      <c r="I1522" t="str">
        <f t="shared" si="449"/>
        <v>0</v>
      </c>
      <c r="J1522" t="str">
        <f>"28"</f>
        <v>28</v>
      </c>
      <c r="K1522">
        <v>20150507</v>
      </c>
      <c r="L1522" t="str">
        <f>"014972"</f>
        <v>014972</v>
      </c>
      <c r="M1522" t="str">
        <f>"00642"</f>
        <v>00642</v>
      </c>
      <c r="N1522" t="s">
        <v>860</v>
      </c>
      <c r="O1522" s="1">
        <v>5370.42</v>
      </c>
      <c r="Q1522" t="s">
        <v>33</v>
      </c>
      <c r="R1522" t="s">
        <v>34</v>
      </c>
      <c r="S1522" t="s">
        <v>35</v>
      </c>
      <c r="T1522" t="s">
        <v>35</v>
      </c>
      <c r="U1522" t="s">
        <v>34</v>
      </c>
      <c r="V1522" t="str">
        <f>""</f>
        <v/>
      </c>
      <c r="W1522">
        <v>20150505</v>
      </c>
      <c r="X1522" t="s">
        <v>690</v>
      </c>
      <c r="Y1522" t="s">
        <v>810</v>
      </c>
      <c r="Z1522" t="s">
        <v>810</v>
      </c>
      <c r="AA1522">
        <v>0</v>
      </c>
      <c r="AB1522" t="s">
        <v>174</v>
      </c>
      <c r="AC1522" t="s">
        <v>41</v>
      </c>
      <c r="AD1522" t="s">
        <v>40</v>
      </c>
      <c r="AE1522" t="str">
        <f t="shared" si="461"/>
        <v>05</v>
      </c>
      <c r="AF1522" t="s">
        <v>40</v>
      </c>
    </row>
    <row r="1523" spans="1:32" x14ac:dyDescent="0.25">
      <c r="A1523">
        <v>5</v>
      </c>
      <c r="B1523">
        <v>420</v>
      </c>
      <c r="C1523" t="str">
        <f>"53"</f>
        <v>53</v>
      </c>
      <c r="D1523">
        <v>6399</v>
      </c>
      <c r="E1523" t="str">
        <f t="shared" si="456"/>
        <v>00</v>
      </c>
      <c r="F1523" t="str">
        <f>"999"</f>
        <v>999</v>
      </c>
      <c r="G1523">
        <v>5</v>
      </c>
      <c r="H1523" t="str">
        <f>"99"</f>
        <v>99</v>
      </c>
      <c r="I1523" t="str">
        <f t="shared" si="449"/>
        <v>0</v>
      </c>
      <c r="J1523" t="str">
        <f t="shared" ref="J1523:J1554" si="463">"00"</f>
        <v>00</v>
      </c>
      <c r="K1523">
        <v>20150507</v>
      </c>
      <c r="L1523" t="str">
        <f>"014973"</f>
        <v>014973</v>
      </c>
      <c r="M1523" t="str">
        <f>"00701"</f>
        <v>00701</v>
      </c>
      <c r="N1523" t="s">
        <v>120</v>
      </c>
      <c r="O1523">
        <v>9.99</v>
      </c>
      <c r="Q1523" t="s">
        <v>33</v>
      </c>
      <c r="R1523" t="s">
        <v>34</v>
      </c>
      <c r="S1523" t="s">
        <v>35</v>
      </c>
      <c r="T1523" t="s">
        <v>35</v>
      </c>
      <c r="U1523" t="s">
        <v>34</v>
      </c>
      <c r="V1523" t="str">
        <f>""</f>
        <v/>
      </c>
      <c r="W1523">
        <v>20150505</v>
      </c>
      <c r="X1523" t="s">
        <v>400</v>
      </c>
      <c r="Y1523" t="s">
        <v>861</v>
      </c>
      <c r="Z1523" t="s">
        <v>861</v>
      </c>
      <c r="AA1523">
        <v>0</v>
      </c>
      <c r="AB1523" t="s">
        <v>142</v>
      </c>
      <c r="AC1523" t="s">
        <v>143</v>
      </c>
      <c r="AD1523" t="s">
        <v>40</v>
      </c>
      <c r="AE1523" t="str">
        <f t="shared" si="461"/>
        <v>05</v>
      </c>
      <c r="AF1523" t="s">
        <v>40</v>
      </c>
    </row>
    <row r="1524" spans="1:32" x14ac:dyDescent="0.25">
      <c r="A1524">
        <v>5</v>
      </c>
      <c r="B1524">
        <v>420</v>
      </c>
      <c r="C1524" t="str">
        <f>"53"</f>
        <v>53</v>
      </c>
      <c r="D1524">
        <v>6399</v>
      </c>
      <c r="E1524" t="str">
        <f t="shared" si="456"/>
        <v>00</v>
      </c>
      <c r="F1524" t="str">
        <f>"999"</f>
        <v>999</v>
      </c>
      <c r="G1524">
        <v>5</v>
      </c>
      <c r="H1524" t="str">
        <f>"99"</f>
        <v>99</v>
      </c>
      <c r="I1524" t="str">
        <f t="shared" si="449"/>
        <v>0</v>
      </c>
      <c r="J1524" t="str">
        <f t="shared" si="463"/>
        <v>00</v>
      </c>
      <c r="K1524">
        <v>20150507</v>
      </c>
      <c r="L1524" t="str">
        <f>"014973"</f>
        <v>014973</v>
      </c>
      <c r="M1524" t="str">
        <f>"00701"</f>
        <v>00701</v>
      </c>
      <c r="N1524" t="s">
        <v>120</v>
      </c>
      <c r="O1524">
        <v>113.91</v>
      </c>
      <c r="Q1524" t="s">
        <v>33</v>
      </c>
      <c r="R1524" t="s">
        <v>34</v>
      </c>
      <c r="S1524" t="s">
        <v>35</v>
      </c>
      <c r="T1524" t="s">
        <v>35</v>
      </c>
      <c r="U1524" t="s">
        <v>34</v>
      </c>
      <c r="V1524" t="str">
        <f>""</f>
        <v/>
      </c>
      <c r="W1524">
        <v>20150505</v>
      </c>
      <c r="X1524" t="s">
        <v>400</v>
      </c>
      <c r="Y1524" t="s">
        <v>861</v>
      </c>
      <c r="Z1524" t="s">
        <v>861</v>
      </c>
      <c r="AA1524">
        <v>0</v>
      </c>
      <c r="AB1524" t="s">
        <v>142</v>
      </c>
      <c r="AC1524" t="s">
        <v>143</v>
      </c>
      <c r="AD1524" t="s">
        <v>40</v>
      </c>
      <c r="AE1524" t="str">
        <f t="shared" si="461"/>
        <v>05</v>
      </c>
      <c r="AF1524" t="s">
        <v>40</v>
      </c>
    </row>
    <row r="1525" spans="1:32" x14ac:dyDescent="0.25">
      <c r="A1525">
        <v>5</v>
      </c>
      <c r="B1525">
        <v>420</v>
      </c>
      <c r="C1525" t="str">
        <f>"53"</f>
        <v>53</v>
      </c>
      <c r="D1525">
        <v>6399</v>
      </c>
      <c r="E1525" t="str">
        <f t="shared" si="456"/>
        <v>00</v>
      </c>
      <c r="F1525" t="str">
        <f>"999"</f>
        <v>999</v>
      </c>
      <c r="G1525">
        <v>5</v>
      </c>
      <c r="H1525" t="str">
        <f>"99"</f>
        <v>99</v>
      </c>
      <c r="I1525" t="str">
        <f t="shared" si="449"/>
        <v>0</v>
      </c>
      <c r="J1525" t="str">
        <f t="shared" si="463"/>
        <v>00</v>
      </c>
      <c r="K1525">
        <v>20150507</v>
      </c>
      <c r="L1525" t="str">
        <f>"014973"</f>
        <v>014973</v>
      </c>
      <c r="M1525" t="str">
        <f>"00701"</f>
        <v>00701</v>
      </c>
      <c r="N1525" t="s">
        <v>120</v>
      </c>
      <c r="O1525">
        <v>13.49</v>
      </c>
      <c r="Q1525" t="s">
        <v>33</v>
      </c>
      <c r="R1525" t="s">
        <v>34</v>
      </c>
      <c r="S1525" t="s">
        <v>35</v>
      </c>
      <c r="T1525" t="s">
        <v>35</v>
      </c>
      <c r="U1525" t="s">
        <v>34</v>
      </c>
      <c r="V1525" t="str">
        <f>""</f>
        <v/>
      </c>
      <c r="W1525">
        <v>20150505</v>
      </c>
      <c r="X1525" t="s">
        <v>400</v>
      </c>
      <c r="Y1525" t="s">
        <v>861</v>
      </c>
      <c r="Z1525" t="s">
        <v>861</v>
      </c>
      <c r="AA1525">
        <v>0</v>
      </c>
      <c r="AB1525" t="s">
        <v>142</v>
      </c>
      <c r="AC1525" t="s">
        <v>143</v>
      </c>
      <c r="AD1525" t="s">
        <v>40</v>
      </c>
      <c r="AE1525" t="str">
        <f t="shared" si="461"/>
        <v>05</v>
      </c>
      <c r="AF1525" t="s">
        <v>40</v>
      </c>
    </row>
    <row r="1526" spans="1:32" x14ac:dyDescent="0.25">
      <c r="A1526">
        <v>5</v>
      </c>
      <c r="B1526">
        <v>420</v>
      </c>
      <c r="C1526" t="str">
        <f>"51"</f>
        <v>51</v>
      </c>
      <c r="D1526">
        <v>6319</v>
      </c>
      <c r="E1526" t="str">
        <f t="shared" si="456"/>
        <v>00</v>
      </c>
      <c r="F1526" t="str">
        <f>"999"</f>
        <v>999</v>
      </c>
      <c r="G1526">
        <v>5</v>
      </c>
      <c r="H1526" t="str">
        <f>"99"</f>
        <v>99</v>
      </c>
      <c r="I1526" t="str">
        <f t="shared" si="449"/>
        <v>0</v>
      </c>
      <c r="J1526" t="str">
        <f t="shared" si="463"/>
        <v>00</v>
      </c>
      <c r="K1526">
        <v>20150507</v>
      </c>
      <c r="L1526" t="str">
        <f>"014974"</f>
        <v>014974</v>
      </c>
      <c r="M1526" t="str">
        <f>"00716"</f>
        <v>00716</v>
      </c>
      <c r="N1526" t="s">
        <v>862</v>
      </c>
      <c r="O1526">
        <v>208.6</v>
      </c>
      <c r="Q1526" t="s">
        <v>33</v>
      </c>
      <c r="R1526" t="s">
        <v>34</v>
      </c>
      <c r="S1526" t="s">
        <v>35</v>
      </c>
      <c r="T1526" t="s">
        <v>35</v>
      </c>
      <c r="U1526" t="s">
        <v>34</v>
      </c>
      <c r="V1526" t="str">
        <f>""</f>
        <v/>
      </c>
      <c r="W1526">
        <v>20150505</v>
      </c>
      <c r="X1526" t="s">
        <v>185</v>
      </c>
      <c r="Y1526" t="s">
        <v>854</v>
      </c>
      <c r="Z1526" t="s">
        <v>854</v>
      </c>
      <c r="AA1526">
        <v>0</v>
      </c>
      <c r="AB1526" t="s">
        <v>142</v>
      </c>
      <c r="AC1526" t="s">
        <v>143</v>
      </c>
      <c r="AD1526" t="s">
        <v>40</v>
      </c>
      <c r="AE1526" t="str">
        <f t="shared" si="461"/>
        <v>05</v>
      </c>
      <c r="AF1526" t="s">
        <v>40</v>
      </c>
    </row>
    <row r="1527" spans="1:32" x14ac:dyDescent="0.25">
      <c r="A1527">
        <v>5</v>
      </c>
      <c r="B1527">
        <v>420</v>
      </c>
      <c r="C1527" t="str">
        <f>"11"</f>
        <v>11</v>
      </c>
      <c r="D1527">
        <v>6399</v>
      </c>
      <c r="E1527" t="str">
        <f t="shared" si="456"/>
        <v>00</v>
      </c>
      <c r="F1527" t="str">
        <f>"001"</f>
        <v>001</v>
      </c>
      <c r="G1527">
        <v>5</v>
      </c>
      <c r="H1527" t="str">
        <f>"11"</f>
        <v>11</v>
      </c>
      <c r="I1527" t="str">
        <f t="shared" si="449"/>
        <v>0</v>
      </c>
      <c r="J1527" t="str">
        <f t="shared" si="463"/>
        <v>00</v>
      </c>
      <c r="K1527">
        <v>20150507</v>
      </c>
      <c r="L1527" t="str">
        <f>"014975"</f>
        <v>014975</v>
      </c>
      <c r="M1527" t="str">
        <f>"00860"</f>
        <v>00860</v>
      </c>
      <c r="N1527" t="s">
        <v>863</v>
      </c>
      <c r="O1527">
        <v>156.31</v>
      </c>
      <c r="Q1527" t="s">
        <v>33</v>
      </c>
      <c r="R1527" t="s">
        <v>34</v>
      </c>
      <c r="S1527" t="s">
        <v>35</v>
      </c>
      <c r="T1527" t="s">
        <v>35</v>
      </c>
      <c r="U1527" t="s">
        <v>34</v>
      </c>
      <c r="V1527" t="str">
        <f>""</f>
        <v/>
      </c>
      <c r="W1527">
        <v>20150505</v>
      </c>
      <c r="X1527" t="s">
        <v>239</v>
      </c>
      <c r="Y1527" t="s">
        <v>864</v>
      </c>
      <c r="Z1527" t="s">
        <v>864</v>
      </c>
      <c r="AA1527">
        <v>0</v>
      </c>
      <c r="AB1527" t="s">
        <v>142</v>
      </c>
      <c r="AC1527" t="s">
        <v>41</v>
      </c>
      <c r="AD1527" t="s">
        <v>40</v>
      </c>
      <c r="AE1527" t="str">
        <f t="shared" si="461"/>
        <v>05</v>
      </c>
      <c r="AF1527" t="s">
        <v>40</v>
      </c>
    </row>
    <row r="1528" spans="1:32" x14ac:dyDescent="0.25">
      <c r="A1528">
        <v>5</v>
      </c>
      <c r="B1528">
        <v>420</v>
      </c>
      <c r="C1528" t="str">
        <f>"11"</f>
        <v>11</v>
      </c>
      <c r="D1528">
        <v>6219</v>
      </c>
      <c r="E1528" t="str">
        <f t="shared" si="456"/>
        <v>00</v>
      </c>
      <c r="F1528" t="str">
        <f>"101"</f>
        <v>101</v>
      </c>
      <c r="G1528">
        <v>5</v>
      </c>
      <c r="H1528" t="str">
        <f>"11"</f>
        <v>11</v>
      </c>
      <c r="I1528" t="str">
        <f t="shared" si="449"/>
        <v>0</v>
      </c>
      <c r="J1528" t="str">
        <f t="shared" si="463"/>
        <v>00</v>
      </c>
      <c r="K1528">
        <v>20150507</v>
      </c>
      <c r="L1528" t="str">
        <f>"014976"</f>
        <v>014976</v>
      </c>
      <c r="M1528" t="str">
        <f>"00861"</f>
        <v>00861</v>
      </c>
      <c r="N1528" t="s">
        <v>865</v>
      </c>
      <c r="O1528">
        <v>869.74</v>
      </c>
      <c r="Q1528" t="s">
        <v>33</v>
      </c>
      <c r="R1528" t="s">
        <v>34</v>
      </c>
      <c r="S1528" t="s">
        <v>35</v>
      </c>
      <c r="T1528" t="s">
        <v>35</v>
      </c>
      <c r="U1528" t="s">
        <v>34</v>
      </c>
      <c r="V1528" t="str">
        <f>""</f>
        <v/>
      </c>
      <c r="W1528">
        <v>20150505</v>
      </c>
      <c r="X1528" t="s">
        <v>147</v>
      </c>
      <c r="Y1528" t="s">
        <v>604</v>
      </c>
      <c r="Z1528" t="s">
        <v>604</v>
      </c>
      <c r="AA1528">
        <v>0</v>
      </c>
      <c r="AB1528" t="s">
        <v>142</v>
      </c>
      <c r="AC1528" t="s">
        <v>41</v>
      </c>
      <c r="AD1528" t="s">
        <v>40</v>
      </c>
      <c r="AE1528" t="str">
        <f t="shared" si="461"/>
        <v>05</v>
      </c>
      <c r="AF1528" t="s">
        <v>40</v>
      </c>
    </row>
    <row r="1529" spans="1:32" x14ac:dyDescent="0.25">
      <c r="A1529">
        <v>5</v>
      </c>
      <c r="B1529">
        <v>420</v>
      </c>
      <c r="C1529" t="str">
        <f>"51"</f>
        <v>51</v>
      </c>
      <c r="D1529">
        <v>6319</v>
      </c>
      <c r="E1529" t="str">
        <f t="shared" si="456"/>
        <v>00</v>
      </c>
      <c r="F1529" t="str">
        <f t="shared" ref="F1529:F1557" si="464">"999"</f>
        <v>999</v>
      </c>
      <c r="G1529">
        <v>5</v>
      </c>
      <c r="H1529" t="str">
        <f>"99"</f>
        <v>99</v>
      </c>
      <c r="I1529" t="str">
        <f t="shared" si="449"/>
        <v>0</v>
      </c>
      <c r="J1529" t="str">
        <f t="shared" si="463"/>
        <v>00</v>
      </c>
      <c r="K1529">
        <v>20150513</v>
      </c>
      <c r="L1529" t="str">
        <f>"014977"</f>
        <v>014977</v>
      </c>
      <c r="M1529" t="str">
        <f>"00599"</f>
        <v>00599</v>
      </c>
      <c r="N1529" t="s">
        <v>334</v>
      </c>
      <c r="O1529">
        <v>130</v>
      </c>
      <c r="Q1529" t="s">
        <v>33</v>
      </c>
      <c r="R1529" t="s">
        <v>34</v>
      </c>
      <c r="S1529" t="s">
        <v>35</v>
      </c>
      <c r="T1529" t="s">
        <v>35</v>
      </c>
      <c r="U1529" t="s">
        <v>34</v>
      </c>
      <c r="V1529" t="str">
        <f>""</f>
        <v/>
      </c>
      <c r="W1529">
        <v>20150513</v>
      </c>
      <c r="X1529" t="s">
        <v>185</v>
      </c>
      <c r="Y1529" t="s">
        <v>866</v>
      </c>
      <c r="Z1529" t="s">
        <v>866</v>
      </c>
      <c r="AA1529">
        <v>0</v>
      </c>
      <c r="AB1529" t="s">
        <v>142</v>
      </c>
      <c r="AC1529" t="s">
        <v>143</v>
      </c>
      <c r="AD1529" t="s">
        <v>40</v>
      </c>
      <c r="AE1529" t="str">
        <f t="shared" si="461"/>
        <v>05</v>
      </c>
      <c r="AF1529" t="s">
        <v>40</v>
      </c>
    </row>
    <row r="1530" spans="1:32" x14ac:dyDescent="0.25">
      <c r="A1530">
        <v>5</v>
      </c>
      <c r="B1530">
        <v>420</v>
      </c>
      <c r="C1530" t="str">
        <f>"11"</f>
        <v>11</v>
      </c>
      <c r="D1530">
        <v>6411</v>
      </c>
      <c r="E1530" t="str">
        <f t="shared" si="456"/>
        <v>00</v>
      </c>
      <c r="F1530" t="str">
        <f t="shared" si="464"/>
        <v>999</v>
      </c>
      <c r="G1530">
        <v>5</v>
      </c>
      <c r="H1530" t="str">
        <f>"11"</f>
        <v>11</v>
      </c>
      <c r="I1530" t="str">
        <f t="shared" si="449"/>
        <v>0</v>
      </c>
      <c r="J1530" t="str">
        <f t="shared" si="463"/>
        <v>00</v>
      </c>
      <c r="K1530">
        <v>20150513</v>
      </c>
      <c r="L1530" t="str">
        <f>"014978"</f>
        <v>014978</v>
      </c>
      <c r="M1530" t="str">
        <f>"00856"</f>
        <v>00856</v>
      </c>
      <c r="N1530" t="s">
        <v>846</v>
      </c>
      <c r="O1530">
        <v>108</v>
      </c>
      <c r="Q1530" t="s">
        <v>33</v>
      </c>
      <c r="R1530" t="s">
        <v>34</v>
      </c>
      <c r="S1530" t="s">
        <v>35</v>
      </c>
      <c r="T1530" t="s">
        <v>35</v>
      </c>
      <c r="U1530" t="s">
        <v>34</v>
      </c>
      <c r="V1530" t="str">
        <f>""</f>
        <v/>
      </c>
      <c r="W1530">
        <v>20150512</v>
      </c>
      <c r="X1530" t="s">
        <v>328</v>
      </c>
      <c r="Y1530" t="s">
        <v>867</v>
      </c>
      <c r="Z1530" t="s">
        <v>867</v>
      </c>
      <c r="AA1530">
        <v>0</v>
      </c>
      <c r="AB1530" t="s">
        <v>142</v>
      </c>
      <c r="AC1530" t="s">
        <v>143</v>
      </c>
      <c r="AD1530" t="s">
        <v>40</v>
      </c>
      <c r="AE1530" t="str">
        <f t="shared" si="461"/>
        <v>05</v>
      </c>
      <c r="AF1530" t="s">
        <v>40</v>
      </c>
    </row>
    <row r="1531" spans="1:32" x14ac:dyDescent="0.25">
      <c r="A1531">
        <v>5</v>
      </c>
      <c r="B1531">
        <v>420</v>
      </c>
      <c r="C1531" t="str">
        <f>"11"</f>
        <v>11</v>
      </c>
      <c r="D1531">
        <v>6411</v>
      </c>
      <c r="E1531" t="str">
        <f t="shared" si="456"/>
        <v>00</v>
      </c>
      <c r="F1531" t="str">
        <f t="shared" si="464"/>
        <v>999</v>
      </c>
      <c r="G1531">
        <v>5</v>
      </c>
      <c r="H1531" t="str">
        <f>"11"</f>
        <v>11</v>
      </c>
      <c r="I1531" t="str">
        <f t="shared" si="449"/>
        <v>0</v>
      </c>
      <c r="J1531" t="str">
        <f t="shared" si="463"/>
        <v>00</v>
      </c>
      <c r="K1531">
        <v>20150513</v>
      </c>
      <c r="L1531" t="str">
        <f>"014978"</f>
        <v>014978</v>
      </c>
      <c r="M1531" t="str">
        <f>"00856"</f>
        <v>00856</v>
      </c>
      <c r="N1531" t="s">
        <v>846</v>
      </c>
      <c r="O1531">
        <v>72</v>
      </c>
      <c r="Q1531" t="s">
        <v>33</v>
      </c>
      <c r="R1531" t="s">
        <v>34</v>
      </c>
      <c r="S1531" t="s">
        <v>35</v>
      </c>
      <c r="T1531" t="s">
        <v>35</v>
      </c>
      <c r="U1531" t="s">
        <v>34</v>
      </c>
      <c r="V1531" t="str">
        <f>""</f>
        <v/>
      </c>
      <c r="W1531">
        <v>20150512</v>
      </c>
      <c r="X1531" t="s">
        <v>328</v>
      </c>
      <c r="Y1531" t="s">
        <v>867</v>
      </c>
      <c r="Z1531" t="s">
        <v>867</v>
      </c>
      <c r="AA1531">
        <v>0</v>
      </c>
      <c r="AB1531" t="s">
        <v>142</v>
      </c>
      <c r="AC1531" t="s">
        <v>143</v>
      </c>
      <c r="AD1531" t="s">
        <v>40</v>
      </c>
      <c r="AE1531" t="str">
        <f t="shared" si="461"/>
        <v>05</v>
      </c>
      <c r="AF1531" t="s">
        <v>40</v>
      </c>
    </row>
    <row r="1532" spans="1:32" x14ac:dyDescent="0.25">
      <c r="A1532">
        <v>5</v>
      </c>
      <c r="B1532">
        <v>420</v>
      </c>
      <c r="C1532" t="str">
        <f>"52"</f>
        <v>52</v>
      </c>
      <c r="D1532">
        <v>6219</v>
      </c>
      <c r="E1532" t="str">
        <f t="shared" si="456"/>
        <v>00</v>
      </c>
      <c r="F1532" t="str">
        <f t="shared" si="464"/>
        <v>999</v>
      </c>
      <c r="G1532">
        <v>5</v>
      </c>
      <c r="H1532" t="str">
        <f>"99"</f>
        <v>99</v>
      </c>
      <c r="I1532" t="str">
        <f t="shared" si="449"/>
        <v>0</v>
      </c>
      <c r="J1532" t="str">
        <f t="shared" si="463"/>
        <v>00</v>
      </c>
      <c r="K1532">
        <v>20150513</v>
      </c>
      <c r="L1532" t="str">
        <f>"014979"</f>
        <v>014979</v>
      </c>
      <c r="M1532" t="str">
        <f>"00392"</f>
        <v>00392</v>
      </c>
      <c r="N1532" t="s">
        <v>218</v>
      </c>
      <c r="O1532">
        <v>35.950000000000003</v>
      </c>
      <c r="Q1532" t="s">
        <v>33</v>
      </c>
      <c r="R1532" t="s">
        <v>34</v>
      </c>
      <c r="S1532" t="s">
        <v>35</v>
      </c>
      <c r="T1532" t="s">
        <v>35</v>
      </c>
      <c r="U1532" t="s">
        <v>34</v>
      </c>
      <c r="V1532" t="str">
        <f>""</f>
        <v/>
      </c>
      <c r="W1532">
        <v>20150512</v>
      </c>
      <c r="X1532" t="s">
        <v>208</v>
      </c>
      <c r="Y1532" t="s">
        <v>616</v>
      </c>
      <c r="Z1532" t="s">
        <v>616</v>
      </c>
      <c r="AA1532">
        <v>0</v>
      </c>
      <c r="AB1532" t="s">
        <v>142</v>
      </c>
      <c r="AC1532" t="s">
        <v>143</v>
      </c>
      <c r="AD1532" t="s">
        <v>40</v>
      </c>
      <c r="AE1532" t="str">
        <f t="shared" si="461"/>
        <v>05</v>
      </c>
      <c r="AF1532" t="s">
        <v>40</v>
      </c>
    </row>
    <row r="1533" spans="1:32" x14ac:dyDescent="0.25">
      <c r="A1533">
        <v>5</v>
      </c>
      <c r="B1533">
        <v>420</v>
      </c>
      <c r="C1533" t="str">
        <f>"51"</f>
        <v>51</v>
      </c>
      <c r="D1533">
        <v>6259</v>
      </c>
      <c r="E1533" t="str">
        <f>"55"</f>
        <v>55</v>
      </c>
      <c r="F1533" t="str">
        <f t="shared" si="464"/>
        <v>999</v>
      </c>
      <c r="G1533">
        <v>5</v>
      </c>
      <c r="H1533" t="str">
        <f>"99"</f>
        <v>99</v>
      </c>
      <c r="I1533" t="str">
        <f t="shared" si="449"/>
        <v>0</v>
      </c>
      <c r="J1533" t="str">
        <f t="shared" si="463"/>
        <v>00</v>
      </c>
      <c r="K1533">
        <v>20150513</v>
      </c>
      <c r="L1533" t="str">
        <f>"014980"</f>
        <v>014980</v>
      </c>
      <c r="M1533" t="str">
        <f>"00075"</f>
        <v>00075</v>
      </c>
      <c r="N1533" t="s">
        <v>649</v>
      </c>
      <c r="O1533">
        <v>33.479999999999997</v>
      </c>
      <c r="Q1533" t="s">
        <v>33</v>
      </c>
      <c r="R1533" t="s">
        <v>34</v>
      </c>
      <c r="S1533" t="s">
        <v>35</v>
      </c>
      <c r="T1533" t="s">
        <v>35</v>
      </c>
      <c r="U1533" t="s">
        <v>34</v>
      </c>
      <c r="V1533" t="str">
        <f>""</f>
        <v/>
      </c>
      <c r="W1533">
        <v>20150512</v>
      </c>
      <c r="X1533" t="s">
        <v>243</v>
      </c>
      <c r="Y1533" t="s">
        <v>244</v>
      </c>
      <c r="Z1533" t="s">
        <v>244</v>
      </c>
      <c r="AA1533">
        <v>0</v>
      </c>
      <c r="AB1533" t="s">
        <v>142</v>
      </c>
      <c r="AC1533" t="s">
        <v>143</v>
      </c>
      <c r="AD1533" t="s">
        <v>40</v>
      </c>
      <c r="AE1533" t="str">
        <f t="shared" si="461"/>
        <v>05</v>
      </c>
      <c r="AF1533" t="s">
        <v>40</v>
      </c>
    </row>
    <row r="1534" spans="1:32" x14ac:dyDescent="0.25">
      <c r="A1534">
        <v>5</v>
      </c>
      <c r="B1534">
        <v>420</v>
      </c>
      <c r="C1534" t="str">
        <f>"51"</f>
        <v>51</v>
      </c>
      <c r="D1534">
        <v>6259</v>
      </c>
      <c r="E1534" t="str">
        <f>"55"</f>
        <v>55</v>
      </c>
      <c r="F1534" t="str">
        <f t="shared" si="464"/>
        <v>999</v>
      </c>
      <c r="G1534">
        <v>5</v>
      </c>
      <c r="H1534" t="str">
        <f>"99"</f>
        <v>99</v>
      </c>
      <c r="I1534" t="str">
        <f t="shared" si="449"/>
        <v>0</v>
      </c>
      <c r="J1534" t="str">
        <f t="shared" si="463"/>
        <v>00</v>
      </c>
      <c r="K1534">
        <v>20150513</v>
      </c>
      <c r="L1534" t="str">
        <f>"014980"</f>
        <v>014980</v>
      </c>
      <c r="M1534" t="str">
        <f>"00075"</f>
        <v>00075</v>
      </c>
      <c r="N1534" t="s">
        <v>649</v>
      </c>
      <c r="O1534">
        <v>197.73</v>
      </c>
      <c r="Q1534" t="s">
        <v>33</v>
      </c>
      <c r="R1534" t="s">
        <v>34</v>
      </c>
      <c r="S1534" t="s">
        <v>35</v>
      </c>
      <c r="T1534" t="s">
        <v>35</v>
      </c>
      <c r="U1534" t="s">
        <v>34</v>
      </c>
      <c r="V1534" t="str">
        <f>""</f>
        <v/>
      </c>
      <c r="W1534">
        <v>20150512</v>
      </c>
      <c r="X1534" t="s">
        <v>243</v>
      </c>
      <c r="Y1534" t="s">
        <v>244</v>
      </c>
      <c r="Z1534" t="s">
        <v>244</v>
      </c>
      <c r="AA1534">
        <v>0</v>
      </c>
      <c r="AB1534" t="s">
        <v>142</v>
      </c>
      <c r="AC1534" t="s">
        <v>143</v>
      </c>
      <c r="AD1534" t="s">
        <v>40</v>
      </c>
      <c r="AE1534" t="str">
        <f t="shared" si="461"/>
        <v>05</v>
      </c>
      <c r="AF1534" t="s">
        <v>40</v>
      </c>
    </row>
    <row r="1535" spans="1:32" x14ac:dyDescent="0.25">
      <c r="A1535">
        <v>5</v>
      </c>
      <c r="B1535">
        <v>420</v>
      </c>
      <c r="C1535" t="str">
        <f>"51"</f>
        <v>51</v>
      </c>
      <c r="D1535">
        <v>6219</v>
      </c>
      <c r="E1535" t="str">
        <f t="shared" ref="E1535:E1550" si="465">"00"</f>
        <v>00</v>
      </c>
      <c r="F1535" t="str">
        <f t="shared" si="464"/>
        <v>999</v>
      </c>
      <c r="G1535">
        <v>5</v>
      </c>
      <c r="H1535" t="str">
        <f>"99"</f>
        <v>99</v>
      </c>
      <c r="I1535" t="str">
        <f t="shared" si="449"/>
        <v>0</v>
      </c>
      <c r="J1535" t="str">
        <f t="shared" si="463"/>
        <v>00</v>
      </c>
      <c r="K1535">
        <v>20150513</v>
      </c>
      <c r="L1535" t="str">
        <f>"014981"</f>
        <v>014981</v>
      </c>
      <c r="M1535" t="str">
        <f>"00102"</f>
        <v>00102</v>
      </c>
      <c r="N1535" t="s">
        <v>367</v>
      </c>
      <c r="O1535">
        <v>145</v>
      </c>
      <c r="Q1535" t="s">
        <v>33</v>
      </c>
      <c r="R1535" t="s">
        <v>34</v>
      </c>
      <c r="S1535" t="s">
        <v>35</v>
      </c>
      <c r="T1535" t="s">
        <v>35</v>
      </c>
      <c r="U1535" t="s">
        <v>34</v>
      </c>
      <c r="V1535" t="str">
        <f>""</f>
        <v/>
      </c>
      <c r="W1535">
        <v>20150512</v>
      </c>
      <c r="X1535" t="s">
        <v>183</v>
      </c>
      <c r="Y1535" t="s">
        <v>368</v>
      </c>
      <c r="Z1535" t="s">
        <v>368</v>
      </c>
      <c r="AA1535">
        <v>0</v>
      </c>
      <c r="AB1535" t="s">
        <v>142</v>
      </c>
      <c r="AC1535" t="s">
        <v>143</v>
      </c>
      <c r="AD1535" t="s">
        <v>40</v>
      </c>
      <c r="AE1535" t="str">
        <f t="shared" si="461"/>
        <v>05</v>
      </c>
      <c r="AF1535" t="s">
        <v>40</v>
      </c>
    </row>
    <row r="1536" spans="1:32" x14ac:dyDescent="0.25">
      <c r="A1536">
        <v>5</v>
      </c>
      <c r="B1536">
        <v>420</v>
      </c>
      <c r="C1536" t="str">
        <f>"11"</f>
        <v>11</v>
      </c>
      <c r="D1536">
        <v>6269</v>
      </c>
      <c r="E1536" t="str">
        <f t="shared" si="465"/>
        <v>00</v>
      </c>
      <c r="F1536" t="str">
        <f t="shared" si="464"/>
        <v>999</v>
      </c>
      <c r="G1536">
        <v>5</v>
      </c>
      <c r="H1536" t="str">
        <f>"11"</f>
        <v>11</v>
      </c>
      <c r="I1536" t="str">
        <f t="shared" si="449"/>
        <v>0</v>
      </c>
      <c r="J1536" t="str">
        <f t="shared" si="463"/>
        <v>00</v>
      </c>
      <c r="K1536">
        <v>20150513</v>
      </c>
      <c r="L1536" t="str">
        <f>"014982"</f>
        <v>014982</v>
      </c>
      <c r="M1536" t="str">
        <f>"00218"</f>
        <v>00218</v>
      </c>
      <c r="N1536" t="s">
        <v>694</v>
      </c>
      <c r="O1536">
        <v>136.25</v>
      </c>
      <c r="Q1536" t="s">
        <v>33</v>
      </c>
      <c r="R1536" t="s">
        <v>34</v>
      </c>
      <c r="S1536" t="s">
        <v>35</v>
      </c>
      <c r="T1536" t="s">
        <v>35</v>
      </c>
      <c r="U1536" t="s">
        <v>34</v>
      </c>
      <c r="V1536" t="str">
        <f>""</f>
        <v/>
      </c>
      <c r="W1536">
        <v>20150512</v>
      </c>
      <c r="X1536" t="s">
        <v>213</v>
      </c>
      <c r="Y1536" t="s">
        <v>231</v>
      </c>
      <c r="Z1536" t="s">
        <v>231</v>
      </c>
      <c r="AA1536">
        <v>0</v>
      </c>
      <c r="AB1536" t="s">
        <v>142</v>
      </c>
      <c r="AC1536" t="s">
        <v>143</v>
      </c>
      <c r="AD1536" t="s">
        <v>40</v>
      </c>
      <c r="AE1536" t="str">
        <f t="shared" si="461"/>
        <v>05</v>
      </c>
      <c r="AF1536" t="s">
        <v>40</v>
      </c>
    </row>
    <row r="1537" spans="1:32" x14ac:dyDescent="0.25">
      <c r="A1537">
        <v>5</v>
      </c>
      <c r="B1537">
        <v>420</v>
      </c>
      <c r="C1537" t="str">
        <f>"52"</f>
        <v>52</v>
      </c>
      <c r="D1537">
        <v>6399</v>
      </c>
      <c r="E1537" t="str">
        <f t="shared" si="465"/>
        <v>00</v>
      </c>
      <c r="F1537" t="str">
        <f t="shared" si="464"/>
        <v>999</v>
      </c>
      <c r="G1537">
        <v>5</v>
      </c>
      <c r="H1537" t="str">
        <f t="shared" ref="H1537:H1546" si="466">"99"</f>
        <v>99</v>
      </c>
      <c r="I1537" t="str">
        <f t="shared" si="449"/>
        <v>0</v>
      </c>
      <c r="J1537" t="str">
        <f t="shared" si="463"/>
        <v>00</v>
      </c>
      <c r="K1537">
        <v>20150513</v>
      </c>
      <c r="L1537" t="str">
        <f>"014983"</f>
        <v>014983</v>
      </c>
      <c r="M1537" t="str">
        <f>"00864"</f>
        <v>00864</v>
      </c>
      <c r="N1537" t="s">
        <v>868</v>
      </c>
      <c r="O1537">
        <v>31.38</v>
      </c>
      <c r="Q1537" t="s">
        <v>33</v>
      </c>
      <c r="R1537" t="s">
        <v>34</v>
      </c>
      <c r="S1537" t="s">
        <v>35</v>
      </c>
      <c r="T1537" t="s">
        <v>35</v>
      </c>
      <c r="U1537" t="s">
        <v>34</v>
      </c>
      <c r="V1537" t="str">
        <f>""</f>
        <v/>
      </c>
      <c r="W1537">
        <v>20150513</v>
      </c>
      <c r="X1537" t="s">
        <v>436</v>
      </c>
      <c r="Y1537" t="s">
        <v>869</v>
      </c>
      <c r="Z1537" t="s">
        <v>869</v>
      </c>
      <c r="AA1537">
        <v>0</v>
      </c>
      <c r="AB1537" t="s">
        <v>142</v>
      </c>
      <c r="AC1537" t="s">
        <v>143</v>
      </c>
      <c r="AD1537" t="s">
        <v>40</v>
      </c>
      <c r="AE1537" t="str">
        <f t="shared" si="461"/>
        <v>05</v>
      </c>
      <c r="AF1537" t="s">
        <v>40</v>
      </c>
    </row>
    <row r="1538" spans="1:32" x14ac:dyDescent="0.25">
      <c r="A1538">
        <v>5</v>
      </c>
      <c r="B1538">
        <v>240</v>
      </c>
      <c r="C1538" t="str">
        <f t="shared" ref="C1538:C1546" si="467">"35"</f>
        <v>35</v>
      </c>
      <c r="D1538">
        <v>6341</v>
      </c>
      <c r="E1538" t="str">
        <f t="shared" si="465"/>
        <v>00</v>
      </c>
      <c r="F1538" t="str">
        <f t="shared" si="464"/>
        <v>999</v>
      </c>
      <c r="G1538">
        <v>5</v>
      </c>
      <c r="H1538" t="str">
        <f t="shared" si="466"/>
        <v>99</v>
      </c>
      <c r="I1538" t="str">
        <f t="shared" ref="I1538:I1601" si="468">"0"</f>
        <v>0</v>
      </c>
      <c r="J1538" t="str">
        <f t="shared" si="463"/>
        <v>00</v>
      </c>
      <c r="K1538">
        <v>20150513</v>
      </c>
      <c r="L1538" t="str">
        <f t="shared" ref="L1538:L1546" si="469">"014984"</f>
        <v>014984</v>
      </c>
      <c r="M1538" t="str">
        <f t="shared" ref="M1538:M1546" si="470">"00410"</f>
        <v>00410</v>
      </c>
      <c r="N1538" t="s">
        <v>324</v>
      </c>
      <c r="O1538">
        <v>148.19999999999999</v>
      </c>
      <c r="Q1538" t="s">
        <v>33</v>
      </c>
      <c r="R1538" t="s">
        <v>34</v>
      </c>
      <c r="S1538" t="s">
        <v>35</v>
      </c>
      <c r="T1538" t="s">
        <v>35</v>
      </c>
      <c r="U1538" t="s">
        <v>34</v>
      </c>
      <c r="V1538" t="str">
        <f>""</f>
        <v/>
      </c>
      <c r="W1538">
        <v>20150512</v>
      </c>
      <c r="X1538" t="s">
        <v>268</v>
      </c>
      <c r="Y1538" t="s">
        <v>573</v>
      </c>
      <c r="Z1538" t="s">
        <v>573</v>
      </c>
      <c r="AA1538">
        <v>0</v>
      </c>
      <c r="AB1538" t="s">
        <v>238</v>
      </c>
      <c r="AC1538" t="s">
        <v>143</v>
      </c>
      <c r="AD1538" t="s">
        <v>40</v>
      </c>
      <c r="AE1538" t="str">
        <f t="shared" si="461"/>
        <v>05</v>
      </c>
      <c r="AF1538" t="s">
        <v>40</v>
      </c>
    </row>
    <row r="1539" spans="1:32" x14ac:dyDescent="0.25">
      <c r="A1539">
        <v>5</v>
      </c>
      <c r="B1539">
        <v>240</v>
      </c>
      <c r="C1539" t="str">
        <f t="shared" si="467"/>
        <v>35</v>
      </c>
      <c r="D1539">
        <v>6341</v>
      </c>
      <c r="E1539" t="str">
        <f t="shared" si="465"/>
        <v>00</v>
      </c>
      <c r="F1539" t="str">
        <f t="shared" si="464"/>
        <v>999</v>
      </c>
      <c r="G1539">
        <v>5</v>
      </c>
      <c r="H1539" t="str">
        <f t="shared" si="466"/>
        <v>99</v>
      </c>
      <c r="I1539" t="str">
        <f t="shared" si="468"/>
        <v>0</v>
      </c>
      <c r="J1539" t="str">
        <f t="shared" si="463"/>
        <v>00</v>
      </c>
      <c r="K1539">
        <v>20150513</v>
      </c>
      <c r="L1539" t="str">
        <f t="shared" si="469"/>
        <v>014984</v>
      </c>
      <c r="M1539" t="str">
        <f t="shared" si="470"/>
        <v>00410</v>
      </c>
      <c r="N1539" t="s">
        <v>324</v>
      </c>
      <c r="O1539">
        <v>432.25</v>
      </c>
      <c r="Q1539" t="s">
        <v>33</v>
      </c>
      <c r="R1539" t="s">
        <v>34</v>
      </c>
      <c r="S1539" t="s">
        <v>35</v>
      </c>
      <c r="T1539" t="s">
        <v>35</v>
      </c>
      <c r="U1539" t="s">
        <v>34</v>
      </c>
      <c r="V1539" t="str">
        <f>""</f>
        <v/>
      </c>
      <c r="W1539">
        <v>20150512</v>
      </c>
      <c r="X1539" t="s">
        <v>268</v>
      </c>
      <c r="Y1539" t="s">
        <v>573</v>
      </c>
      <c r="Z1539" t="s">
        <v>573</v>
      </c>
      <c r="AA1539">
        <v>0</v>
      </c>
      <c r="AB1539" t="s">
        <v>238</v>
      </c>
      <c r="AC1539" t="s">
        <v>143</v>
      </c>
      <c r="AD1539" t="s">
        <v>40</v>
      </c>
      <c r="AE1539" t="str">
        <f t="shared" si="461"/>
        <v>05</v>
      </c>
      <c r="AF1539" t="s">
        <v>40</v>
      </c>
    </row>
    <row r="1540" spans="1:32" x14ac:dyDescent="0.25">
      <c r="A1540">
        <v>5</v>
      </c>
      <c r="B1540">
        <v>240</v>
      </c>
      <c r="C1540" t="str">
        <f t="shared" si="467"/>
        <v>35</v>
      </c>
      <c r="D1540">
        <v>6341</v>
      </c>
      <c r="E1540" t="str">
        <f t="shared" si="465"/>
        <v>00</v>
      </c>
      <c r="F1540" t="str">
        <f t="shared" si="464"/>
        <v>999</v>
      </c>
      <c r="G1540">
        <v>5</v>
      </c>
      <c r="H1540" t="str">
        <f t="shared" si="466"/>
        <v>99</v>
      </c>
      <c r="I1540" t="str">
        <f t="shared" si="468"/>
        <v>0</v>
      </c>
      <c r="J1540" t="str">
        <f t="shared" si="463"/>
        <v>00</v>
      </c>
      <c r="K1540">
        <v>20150513</v>
      </c>
      <c r="L1540" t="str">
        <f t="shared" si="469"/>
        <v>014984</v>
      </c>
      <c r="M1540" t="str">
        <f t="shared" si="470"/>
        <v>00410</v>
      </c>
      <c r="N1540" t="s">
        <v>324</v>
      </c>
      <c r="O1540">
        <v>395.2</v>
      </c>
      <c r="Q1540" t="s">
        <v>33</v>
      </c>
      <c r="R1540" t="s">
        <v>34</v>
      </c>
      <c r="S1540" t="s">
        <v>35</v>
      </c>
      <c r="T1540" t="s">
        <v>35</v>
      </c>
      <c r="U1540" t="s">
        <v>34</v>
      </c>
      <c r="V1540" t="str">
        <f>""</f>
        <v/>
      </c>
      <c r="W1540">
        <v>20150512</v>
      </c>
      <c r="X1540" t="s">
        <v>268</v>
      </c>
      <c r="Y1540" t="s">
        <v>573</v>
      </c>
      <c r="Z1540" t="s">
        <v>573</v>
      </c>
      <c r="AA1540">
        <v>0</v>
      </c>
      <c r="AB1540" t="s">
        <v>238</v>
      </c>
      <c r="AC1540" t="s">
        <v>143</v>
      </c>
      <c r="AD1540" t="s">
        <v>40</v>
      </c>
      <c r="AE1540" t="str">
        <f t="shared" si="461"/>
        <v>05</v>
      </c>
      <c r="AF1540" t="s">
        <v>40</v>
      </c>
    </row>
    <row r="1541" spans="1:32" x14ac:dyDescent="0.25">
      <c r="A1541">
        <v>5</v>
      </c>
      <c r="B1541">
        <v>240</v>
      </c>
      <c r="C1541" t="str">
        <f t="shared" si="467"/>
        <v>35</v>
      </c>
      <c r="D1541">
        <v>6341</v>
      </c>
      <c r="E1541" t="str">
        <f t="shared" si="465"/>
        <v>00</v>
      </c>
      <c r="F1541" t="str">
        <f t="shared" si="464"/>
        <v>999</v>
      </c>
      <c r="G1541">
        <v>5</v>
      </c>
      <c r="H1541" t="str">
        <f t="shared" si="466"/>
        <v>99</v>
      </c>
      <c r="I1541" t="str">
        <f t="shared" si="468"/>
        <v>0</v>
      </c>
      <c r="J1541" t="str">
        <f t="shared" si="463"/>
        <v>00</v>
      </c>
      <c r="K1541">
        <v>20150513</v>
      </c>
      <c r="L1541" t="str">
        <f t="shared" si="469"/>
        <v>014984</v>
      </c>
      <c r="M1541" t="str">
        <f t="shared" si="470"/>
        <v>00410</v>
      </c>
      <c r="N1541" t="s">
        <v>324</v>
      </c>
      <c r="O1541">
        <v>333.45</v>
      </c>
      <c r="Q1541" t="s">
        <v>33</v>
      </c>
      <c r="R1541" t="s">
        <v>34</v>
      </c>
      <c r="S1541" t="s">
        <v>35</v>
      </c>
      <c r="T1541" t="s">
        <v>35</v>
      </c>
      <c r="U1541" t="s">
        <v>34</v>
      </c>
      <c r="V1541" t="str">
        <f>""</f>
        <v/>
      </c>
      <c r="W1541">
        <v>20150512</v>
      </c>
      <c r="X1541" t="s">
        <v>268</v>
      </c>
      <c r="Y1541" t="s">
        <v>573</v>
      </c>
      <c r="Z1541" t="s">
        <v>573</v>
      </c>
      <c r="AA1541">
        <v>0</v>
      </c>
      <c r="AB1541" t="s">
        <v>238</v>
      </c>
      <c r="AC1541" t="s">
        <v>143</v>
      </c>
      <c r="AD1541" t="s">
        <v>40</v>
      </c>
      <c r="AE1541" t="str">
        <f t="shared" si="461"/>
        <v>05</v>
      </c>
      <c r="AF1541" t="s">
        <v>40</v>
      </c>
    </row>
    <row r="1542" spans="1:32" x14ac:dyDescent="0.25">
      <c r="A1542">
        <v>5</v>
      </c>
      <c r="B1542">
        <v>240</v>
      </c>
      <c r="C1542" t="str">
        <f t="shared" si="467"/>
        <v>35</v>
      </c>
      <c r="D1542">
        <v>6341</v>
      </c>
      <c r="E1542" t="str">
        <f t="shared" si="465"/>
        <v>00</v>
      </c>
      <c r="F1542" t="str">
        <f t="shared" si="464"/>
        <v>999</v>
      </c>
      <c r="G1542">
        <v>5</v>
      </c>
      <c r="H1542" t="str">
        <f t="shared" si="466"/>
        <v>99</v>
      </c>
      <c r="I1542" t="str">
        <f t="shared" si="468"/>
        <v>0</v>
      </c>
      <c r="J1542" t="str">
        <f t="shared" si="463"/>
        <v>00</v>
      </c>
      <c r="K1542">
        <v>20150513</v>
      </c>
      <c r="L1542" t="str">
        <f t="shared" si="469"/>
        <v>014984</v>
      </c>
      <c r="M1542" t="str">
        <f t="shared" si="470"/>
        <v>00410</v>
      </c>
      <c r="N1542" t="s">
        <v>324</v>
      </c>
      <c r="O1542">
        <v>419.9</v>
      </c>
      <c r="Q1542" t="s">
        <v>33</v>
      </c>
      <c r="R1542" t="s">
        <v>34</v>
      </c>
      <c r="S1542" t="s">
        <v>35</v>
      </c>
      <c r="T1542" t="s">
        <v>35</v>
      </c>
      <c r="U1542" t="s">
        <v>34</v>
      </c>
      <c r="V1542" t="str">
        <f>""</f>
        <v/>
      </c>
      <c r="W1542">
        <v>20150512</v>
      </c>
      <c r="X1542" t="s">
        <v>268</v>
      </c>
      <c r="Y1542" t="s">
        <v>573</v>
      </c>
      <c r="Z1542" t="s">
        <v>573</v>
      </c>
      <c r="AA1542">
        <v>0</v>
      </c>
      <c r="AB1542" t="s">
        <v>238</v>
      </c>
      <c r="AC1542" t="s">
        <v>143</v>
      </c>
      <c r="AD1542" t="s">
        <v>40</v>
      </c>
      <c r="AE1542" t="str">
        <f t="shared" si="461"/>
        <v>05</v>
      </c>
      <c r="AF1542" t="s">
        <v>40</v>
      </c>
    </row>
    <row r="1543" spans="1:32" x14ac:dyDescent="0.25">
      <c r="A1543">
        <v>5</v>
      </c>
      <c r="B1543">
        <v>240</v>
      </c>
      <c r="C1543" t="str">
        <f t="shared" si="467"/>
        <v>35</v>
      </c>
      <c r="D1543">
        <v>6341</v>
      </c>
      <c r="E1543" t="str">
        <f t="shared" si="465"/>
        <v>00</v>
      </c>
      <c r="F1543" t="str">
        <f t="shared" si="464"/>
        <v>999</v>
      </c>
      <c r="G1543">
        <v>5</v>
      </c>
      <c r="H1543" t="str">
        <f t="shared" si="466"/>
        <v>99</v>
      </c>
      <c r="I1543" t="str">
        <f t="shared" si="468"/>
        <v>0</v>
      </c>
      <c r="J1543" t="str">
        <f t="shared" si="463"/>
        <v>00</v>
      </c>
      <c r="K1543">
        <v>20150513</v>
      </c>
      <c r="L1543" t="str">
        <f t="shared" si="469"/>
        <v>014984</v>
      </c>
      <c r="M1543" t="str">
        <f t="shared" si="470"/>
        <v>00410</v>
      </c>
      <c r="N1543" t="s">
        <v>324</v>
      </c>
      <c r="O1543">
        <v>370.5</v>
      </c>
      <c r="Q1543" t="s">
        <v>33</v>
      </c>
      <c r="R1543" t="s">
        <v>34</v>
      </c>
      <c r="S1543" t="s">
        <v>35</v>
      </c>
      <c r="T1543" t="s">
        <v>35</v>
      </c>
      <c r="U1543" t="s">
        <v>34</v>
      </c>
      <c r="V1543" t="str">
        <f>""</f>
        <v/>
      </c>
      <c r="W1543">
        <v>20150512</v>
      </c>
      <c r="X1543" t="s">
        <v>268</v>
      </c>
      <c r="Y1543" t="s">
        <v>573</v>
      </c>
      <c r="Z1543" t="s">
        <v>573</v>
      </c>
      <c r="AA1543">
        <v>0</v>
      </c>
      <c r="AB1543" t="s">
        <v>238</v>
      </c>
      <c r="AC1543" t="s">
        <v>143</v>
      </c>
      <c r="AD1543" t="s">
        <v>40</v>
      </c>
      <c r="AE1543" t="str">
        <f t="shared" ref="AE1543:AE1574" si="471">"05"</f>
        <v>05</v>
      </c>
      <c r="AF1543" t="s">
        <v>40</v>
      </c>
    </row>
    <row r="1544" spans="1:32" x14ac:dyDescent="0.25">
      <c r="A1544">
        <v>5</v>
      </c>
      <c r="B1544">
        <v>240</v>
      </c>
      <c r="C1544" t="str">
        <f t="shared" si="467"/>
        <v>35</v>
      </c>
      <c r="D1544">
        <v>6341</v>
      </c>
      <c r="E1544" t="str">
        <f t="shared" si="465"/>
        <v>00</v>
      </c>
      <c r="F1544" t="str">
        <f t="shared" si="464"/>
        <v>999</v>
      </c>
      <c r="G1544">
        <v>5</v>
      </c>
      <c r="H1544" t="str">
        <f t="shared" si="466"/>
        <v>99</v>
      </c>
      <c r="I1544" t="str">
        <f t="shared" si="468"/>
        <v>0</v>
      </c>
      <c r="J1544" t="str">
        <f t="shared" si="463"/>
        <v>00</v>
      </c>
      <c r="K1544">
        <v>20150513</v>
      </c>
      <c r="L1544" t="str">
        <f t="shared" si="469"/>
        <v>014984</v>
      </c>
      <c r="M1544" t="str">
        <f t="shared" si="470"/>
        <v>00410</v>
      </c>
      <c r="N1544" t="s">
        <v>324</v>
      </c>
      <c r="O1544">
        <v>407.55</v>
      </c>
      <c r="Q1544" t="s">
        <v>33</v>
      </c>
      <c r="R1544" t="s">
        <v>34</v>
      </c>
      <c r="S1544" t="s">
        <v>35</v>
      </c>
      <c r="T1544" t="s">
        <v>35</v>
      </c>
      <c r="U1544" t="s">
        <v>34</v>
      </c>
      <c r="V1544" t="str">
        <f>""</f>
        <v/>
      </c>
      <c r="W1544">
        <v>20150512</v>
      </c>
      <c r="X1544" t="s">
        <v>268</v>
      </c>
      <c r="Y1544" t="s">
        <v>573</v>
      </c>
      <c r="Z1544" t="s">
        <v>573</v>
      </c>
      <c r="AA1544">
        <v>0</v>
      </c>
      <c r="AB1544" t="s">
        <v>238</v>
      </c>
      <c r="AC1544" t="s">
        <v>143</v>
      </c>
      <c r="AD1544" t="s">
        <v>40</v>
      </c>
      <c r="AE1544" t="str">
        <f t="shared" si="471"/>
        <v>05</v>
      </c>
      <c r="AF1544" t="s">
        <v>40</v>
      </c>
    </row>
    <row r="1545" spans="1:32" x14ac:dyDescent="0.25">
      <c r="A1545">
        <v>5</v>
      </c>
      <c r="B1545">
        <v>240</v>
      </c>
      <c r="C1545" t="str">
        <f t="shared" si="467"/>
        <v>35</v>
      </c>
      <c r="D1545">
        <v>6341</v>
      </c>
      <c r="E1545" t="str">
        <f t="shared" si="465"/>
        <v>00</v>
      </c>
      <c r="F1545" t="str">
        <f t="shared" si="464"/>
        <v>999</v>
      </c>
      <c r="G1545">
        <v>5</v>
      </c>
      <c r="H1545" t="str">
        <f t="shared" si="466"/>
        <v>99</v>
      </c>
      <c r="I1545" t="str">
        <f t="shared" si="468"/>
        <v>0</v>
      </c>
      <c r="J1545" t="str">
        <f t="shared" si="463"/>
        <v>00</v>
      </c>
      <c r="K1545">
        <v>20150513</v>
      </c>
      <c r="L1545" t="str">
        <f t="shared" si="469"/>
        <v>014984</v>
      </c>
      <c r="M1545" t="str">
        <f t="shared" si="470"/>
        <v>00410</v>
      </c>
      <c r="N1545" t="s">
        <v>324</v>
      </c>
      <c r="O1545">
        <v>333.45</v>
      </c>
      <c r="Q1545" t="s">
        <v>33</v>
      </c>
      <c r="R1545" t="s">
        <v>34</v>
      </c>
      <c r="S1545" t="s">
        <v>35</v>
      </c>
      <c r="T1545" t="s">
        <v>35</v>
      </c>
      <c r="U1545" t="s">
        <v>34</v>
      </c>
      <c r="V1545" t="str">
        <f>""</f>
        <v/>
      </c>
      <c r="W1545">
        <v>20150512</v>
      </c>
      <c r="X1545" t="s">
        <v>268</v>
      </c>
      <c r="Y1545" t="s">
        <v>573</v>
      </c>
      <c r="Z1545" t="s">
        <v>573</v>
      </c>
      <c r="AA1545">
        <v>0</v>
      </c>
      <c r="AB1545" t="s">
        <v>238</v>
      </c>
      <c r="AC1545" t="s">
        <v>143</v>
      </c>
      <c r="AD1545" t="s">
        <v>40</v>
      </c>
      <c r="AE1545" t="str">
        <f t="shared" si="471"/>
        <v>05</v>
      </c>
      <c r="AF1545" t="s">
        <v>40</v>
      </c>
    </row>
    <row r="1546" spans="1:32" x14ac:dyDescent="0.25">
      <c r="A1546">
        <v>5</v>
      </c>
      <c r="B1546">
        <v>240</v>
      </c>
      <c r="C1546" t="str">
        <f t="shared" si="467"/>
        <v>35</v>
      </c>
      <c r="D1546">
        <v>6341</v>
      </c>
      <c r="E1546" t="str">
        <f t="shared" si="465"/>
        <v>00</v>
      </c>
      <c r="F1546" t="str">
        <f t="shared" si="464"/>
        <v>999</v>
      </c>
      <c r="G1546">
        <v>5</v>
      </c>
      <c r="H1546" t="str">
        <f t="shared" si="466"/>
        <v>99</v>
      </c>
      <c r="I1546" t="str">
        <f t="shared" si="468"/>
        <v>0</v>
      </c>
      <c r="J1546" t="str">
        <f t="shared" si="463"/>
        <v>00</v>
      </c>
      <c r="K1546">
        <v>20150513</v>
      </c>
      <c r="L1546" t="str">
        <f t="shared" si="469"/>
        <v>014984</v>
      </c>
      <c r="M1546" t="str">
        <f t="shared" si="470"/>
        <v>00410</v>
      </c>
      <c r="N1546" t="s">
        <v>324</v>
      </c>
      <c r="O1546">
        <v>345.8</v>
      </c>
      <c r="Q1546" t="s">
        <v>33</v>
      </c>
      <c r="R1546" t="s">
        <v>34</v>
      </c>
      <c r="S1546" t="s">
        <v>35</v>
      </c>
      <c r="T1546" t="s">
        <v>35</v>
      </c>
      <c r="U1546" t="s">
        <v>34</v>
      </c>
      <c r="V1546" t="str">
        <f>""</f>
        <v/>
      </c>
      <c r="W1546">
        <v>20150512</v>
      </c>
      <c r="X1546" t="s">
        <v>268</v>
      </c>
      <c r="Y1546" t="s">
        <v>573</v>
      </c>
      <c r="Z1546" t="s">
        <v>573</v>
      </c>
      <c r="AA1546">
        <v>0</v>
      </c>
      <c r="AB1546" t="s">
        <v>238</v>
      </c>
      <c r="AC1546" t="s">
        <v>143</v>
      </c>
      <c r="AD1546" t="s">
        <v>40</v>
      </c>
      <c r="AE1546" t="str">
        <f t="shared" si="471"/>
        <v>05</v>
      </c>
      <c r="AF1546" t="s">
        <v>40</v>
      </c>
    </row>
    <row r="1547" spans="1:32" x14ac:dyDescent="0.25">
      <c r="A1547">
        <v>5</v>
      </c>
      <c r="B1547">
        <v>420</v>
      </c>
      <c r="C1547" t="str">
        <f>"11"</f>
        <v>11</v>
      </c>
      <c r="D1547">
        <v>6411</v>
      </c>
      <c r="E1547" t="str">
        <f t="shared" si="465"/>
        <v>00</v>
      </c>
      <c r="F1547" t="str">
        <f t="shared" si="464"/>
        <v>999</v>
      </c>
      <c r="G1547">
        <v>5</v>
      </c>
      <c r="H1547" t="str">
        <f>"11"</f>
        <v>11</v>
      </c>
      <c r="I1547" t="str">
        <f t="shared" si="468"/>
        <v>0</v>
      </c>
      <c r="J1547" t="str">
        <f t="shared" si="463"/>
        <v>00</v>
      </c>
      <c r="K1547">
        <v>20150513</v>
      </c>
      <c r="L1547" t="str">
        <f>"014985"</f>
        <v>014985</v>
      </c>
      <c r="M1547" t="str">
        <f>"00825"</f>
        <v>00825</v>
      </c>
      <c r="N1547" t="s">
        <v>870</v>
      </c>
      <c r="O1547">
        <v>60.97</v>
      </c>
      <c r="Q1547" t="s">
        <v>33</v>
      </c>
      <c r="R1547" t="s">
        <v>34</v>
      </c>
      <c r="S1547" t="s">
        <v>35</v>
      </c>
      <c r="T1547" t="s">
        <v>35</v>
      </c>
      <c r="U1547" t="s">
        <v>34</v>
      </c>
      <c r="V1547" t="str">
        <f>""</f>
        <v/>
      </c>
      <c r="W1547">
        <v>20150512</v>
      </c>
      <c r="X1547" t="s">
        <v>328</v>
      </c>
      <c r="Y1547" t="s">
        <v>871</v>
      </c>
      <c r="Z1547" t="s">
        <v>871</v>
      </c>
      <c r="AA1547">
        <v>0</v>
      </c>
      <c r="AB1547" t="s">
        <v>142</v>
      </c>
      <c r="AC1547" t="s">
        <v>143</v>
      </c>
      <c r="AD1547" t="s">
        <v>40</v>
      </c>
      <c r="AE1547" t="str">
        <f t="shared" si="471"/>
        <v>05</v>
      </c>
      <c r="AF1547" t="s">
        <v>40</v>
      </c>
    </row>
    <row r="1548" spans="1:32" x14ac:dyDescent="0.25">
      <c r="A1548">
        <v>5</v>
      </c>
      <c r="B1548">
        <v>420</v>
      </c>
      <c r="C1548" t="str">
        <f>"11"</f>
        <v>11</v>
      </c>
      <c r="D1548">
        <v>6411</v>
      </c>
      <c r="E1548" t="str">
        <f t="shared" si="465"/>
        <v>00</v>
      </c>
      <c r="F1548" t="str">
        <f t="shared" si="464"/>
        <v>999</v>
      </c>
      <c r="G1548">
        <v>5</v>
      </c>
      <c r="H1548" t="str">
        <f>"11"</f>
        <v>11</v>
      </c>
      <c r="I1548" t="str">
        <f t="shared" si="468"/>
        <v>0</v>
      </c>
      <c r="J1548" t="str">
        <f t="shared" si="463"/>
        <v>00</v>
      </c>
      <c r="K1548">
        <v>20150513</v>
      </c>
      <c r="L1548" t="str">
        <f>"014985"</f>
        <v>014985</v>
      </c>
      <c r="M1548" t="str">
        <f>"00825"</f>
        <v>00825</v>
      </c>
      <c r="N1548" t="s">
        <v>870</v>
      </c>
      <c r="O1548">
        <v>13.9</v>
      </c>
      <c r="Q1548" t="s">
        <v>33</v>
      </c>
      <c r="R1548" t="s">
        <v>34</v>
      </c>
      <c r="S1548" t="s">
        <v>35</v>
      </c>
      <c r="T1548" t="s">
        <v>35</v>
      </c>
      <c r="U1548" t="s">
        <v>34</v>
      </c>
      <c r="V1548" t="str">
        <f>""</f>
        <v/>
      </c>
      <c r="W1548">
        <v>20150512</v>
      </c>
      <c r="X1548" t="s">
        <v>328</v>
      </c>
      <c r="Y1548" t="s">
        <v>867</v>
      </c>
      <c r="Z1548" t="s">
        <v>867</v>
      </c>
      <c r="AA1548">
        <v>0</v>
      </c>
      <c r="AB1548" t="s">
        <v>142</v>
      </c>
      <c r="AC1548" t="s">
        <v>143</v>
      </c>
      <c r="AD1548" t="s">
        <v>40</v>
      </c>
      <c r="AE1548" t="str">
        <f t="shared" si="471"/>
        <v>05</v>
      </c>
      <c r="AF1548" t="s">
        <v>40</v>
      </c>
    </row>
    <row r="1549" spans="1:32" x14ac:dyDescent="0.25">
      <c r="A1549">
        <v>5</v>
      </c>
      <c r="B1549">
        <v>420</v>
      </c>
      <c r="C1549" t="str">
        <f>"11"</f>
        <v>11</v>
      </c>
      <c r="D1549">
        <v>6411</v>
      </c>
      <c r="E1549" t="str">
        <f t="shared" si="465"/>
        <v>00</v>
      </c>
      <c r="F1549" t="str">
        <f t="shared" si="464"/>
        <v>999</v>
      </c>
      <c r="G1549">
        <v>5</v>
      </c>
      <c r="H1549" t="str">
        <f>"11"</f>
        <v>11</v>
      </c>
      <c r="I1549" t="str">
        <f t="shared" si="468"/>
        <v>0</v>
      </c>
      <c r="J1549" t="str">
        <f t="shared" si="463"/>
        <v>00</v>
      </c>
      <c r="K1549">
        <v>20150513</v>
      </c>
      <c r="L1549" t="str">
        <f>"014985"</f>
        <v>014985</v>
      </c>
      <c r="M1549" t="str">
        <f>"00825"</f>
        <v>00825</v>
      </c>
      <c r="N1549" t="s">
        <v>870</v>
      </c>
      <c r="O1549">
        <v>20.85</v>
      </c>
      <c r="Q1549" t="s">
        <v>33</v>
      </c>
      <c r="R1549" t="s">
        <v>34</v>
      </c>
      <c r="S1549" t="s">
        <v>35</v>
      </c>
      <c r="T1549" t="s">
        <v>35</v>
      </c>
      <c r="U1549" t="s">
        <v>34</v>
      </c>
      <c r="V1549" t="str">
        <f>""</f>
        <v/>
      </c>
      <c r="W1549">
        <v>20150512</v>
      </c>
      <c r="X1549" t="s">
        <v>328</v>
      </c>
      <c r="Y1549" t="s">
        <v>867</v>
      </c>
      <c r="Z1549" t="s">
        <v>867</v>
      </c>
      <c r="AA1549">
        <v>0</v>
      </c>
      <c r="AB1549" t="s">
        <v>142</v>
      </c>
      <c r="AC1549" t="s">
        <v>143</v>
      </c>
      <c r="AD1549" t="s">
        <v>40</v>
      </c>
      <c r="AE1549" t="str">
        <f t="shared" si="471"/>
        <v>05</v>
      </c>
      <c r="AF1549" t="s">
        <v>40</v>
      </c>
    </row>
    <row r="1550" spans="1:32" x14ac:dyDescent="0.25">
      <c r="A1550">
        <v>5</v>
      </c>
      <c r="B1550">
        <v>420</v>
      </c>
      <c r="C1550" t="str">
        <f>"11"</f>
        <v>11</v>
      </c>
      <c r="D1550">
        <v>6411</v>
      </c>
      <c r="E1550" t="str">
        <f t="shared" si="465"/>
        <v>00</v>
      </c>
      <c r="F1550" t="str">
        <f t="shared" si="464"/>
        <v>999</v>
      </c>
      <c r="G1550">
        <v>5</v>
      </c>
      <c r="H1550" t="str">
        <f>"11"</f>
        <v>11</v>
      </c>
      <c r="I1550" t="str">
        <f t="shared" si="468"/>
        <v>0</v>
      </c>
      <c r="J1550" t="str">
        <f t="shared" si="463"/>
        <v>00</v>
      </c>
      <c r="K1550">
        <v>20150513</v>
      </c>
      <c r="L1550" t="str">
        <f>"014985"</f>
        <v>014985</v>
      </c>
      <c r="M1550" t="str">
        <f>"00825"</f>
        <v>00825</v>
      </c>
      <c r="N1550" t="s">
        <v>870</v>
      </c>
      <c r="O1550">
        <v>27.8</v>
      </c>
      <c r="Q1550" t="s">
        <v>33</v>
      </c>
      <c r="R1550" t="s">
        <v>34</v>
      </c>
      <c r="S1550" t="s">
        <v>35</v>
      </c>
      <c r="T1550" t="s">
        <v>35</v>
      </c>
      <c r="U1550" t="s">
        <v>34</v>
      </c>
      <c r="V1550" t="str">
        <f>""</f>
        <v/>
      </c>
      <c r="W1550">
        <v>20150512</v>
      </c>
      <c r="X1550" t="s">
        <v>328</v>
      </c>
      <c r="Y1550" t="s">
        <v>867</v>
      </c>
      <c r="Z1550" t="s">
        <v>867</v>
      </c>
      <c r="AA1550">
        <v>0</v>
      </c>
      <c r="AB1550" t="s">
        <v>142</v>
      </c>
      <c r="AC1550" t="s">
        <v>143</v>
      </c>
      <c r="AD1550" t="s">
        <v>40</v>
      </c>
      <c r="AE1550" t="str">
        <f t="shared" si="471"/>
        <v>05</v>
      </c>
      <c r="AF1550" t="s">
        <v>40</v>
      </c>
    </row>
    <row r="1551" spans="1:32" x14ac:dyDescent="0.25">
      <c r="A1551">
        <v>5</v>
      </c>
      <c r="B1551">
        <v>420</v>
      </c>
      <c r="C1551" t="str">
        <f>"51"</f>
        <v>51</v>
      </c>
      <c r="D1551">
        <v>6259</v>
      </c>
      <c r="E1551" t="str">
        <f>"50"</f>
        <v>50</v>
      </c>
      <c r="F1551" t="str">
        <f t="shared" si="464"/>
        <v>999</v>
      </c>
      <c r="G1551">
        <v>5</v>
      </c>
      <c r="H1551" t="str">
        <f t="shared" ref="H1551:H1557" si="472">"99"</f>
        <v>99</v>
      </c>
      <c r="I1551" t="str">
        <f t="shared" si="468"/>
        <v>0</v>
      </c>
      <c r="J1551" t="str">
        <f t="shared" si="463"/>
        <v>00</v>
      </c>
      <c r="K1551">
        <v>20150513</v>
      </c>
      <c r="L1551" t="str">
        <f>"014986"</f>
        <v>014986</v>
      </c>
      <c r="M1551" t="str">
        <f>"00162"</f>
        <v>00162</v>
      </c>
      <c r="N1551" t="s">
        <v>242</v>
      </c>
      <c r="O1551">
        <v>690.14</v>
      </c>
      <c r="Q1551" t="s">
        <v>33</v>
      </c>
      <c r="R1551" t="s">
        <v>34</v>
      </c>
      <c r="S1551" t="s">
        <v>35</v>
      </c>
      <c r="T1551" t="s">
        <v>35</v>
      </c>
      <c r="U1551" t="s">
        <v>34</v>
      </c>
      <c r="V1551" t="str">
        <f>""</f>
        <v/>
      </c>
      <c r="W1551">
        <v>20150512</v>
      </c>
      <c r="X1551" t="s">
        <v>374</v>
      </c>
      <c r="Y1551" t="s">
        <v>375</v>
      </c>
      <c r="Z1551" t="s">
        <v>375</v>
      </c>
      <c r="AA1551">
        <v>0</v>
      </c>
      <c r="AB1551" t="s">
        <v>142</v>
      </c>
      <c r="AC1551" t="s">
        <v>143</v>
      </c>
      <c r="AD1551" t="s">
        <v>40</v>
      </c>
      <c r="AE1551" t="str">
        <f t="shared" si="471"/>
        <v>05</v>
      </c>
      <c r="AF1551" t="s">
        <v>40</v>
      </c>
    </row>
    <row r="1552" spans="1:32" x14ac:dyDescent="0.25">
      <c r="A1552">
        <v>5</v>
      </c>
      <c r="B1552">
        <v>420</v>
      </c>
      <c r="C1552" t="str">
        <f>"51"</f>
        <v>51</v>
      </c>
      <c r="D1552">
        <v>6259</v>
      </c>
      <c r="E1552" t="str">
        <f>"55"</f>
        <v>55</v>
      </c>
      <c r="F1552" t="str">
        <f t="shared" si="464"/>
        <v>999</v>
      </c>
      <c r="G1552">
        <v>5</v>
      </c>
      <c r="H1552" t="str">
        <f t="shared" si="472"/>
        <v>99</v>
      </c>
      <c r="I1552" t="str">
        <f t="shared" si="468"/>
        <v>0</v>
      </c>
      <c r="J1552" t="str">
        <f t="shared" si="463"/>
        <v>00</v>
      </c>
      <c r="K1552">
        <v>20150513</v>
      </c>
      <c r="L1552" t="str">
        <f>"014987"</f>
        <v>014987</v>
      </c>
      <c r="M1552" t="str">
        <f>"00306"</f>
        <v>00306</v>
      </c>
      <c r="N1552" t="s">
        <v>754</v>
      </c>
      <c r="O1552">
        <v>53.24</v>
      </c>
      <c r="Q1552" t="s">
        <v>33</v>
      </c>
      <c r="R1552" t="s">
        <v>34</v>
      </c>
      <c r="S1552" t="s">
        <v>35</v>
      </c>
      <c r="T1552" t="s">
        <v>35</v>
      </c>
      <c r="U1552" t="s">
        <v>34</v>
      </c>
      <c r="V1552" t="str">
        <f>""</f>
        <v/>
      </c>
      <c r="W1552">
        <v>20150512</v>
      </c>
      <c r="X1552" t="s">
        <v>243</v>
      </c>
      <c r="Y1552" t="s">
        <v>244</v>
      </c>
      <c r="Z1552" t="s">
        <v>244</v>
      </c>
      <c r="AA1552">
        <v>0</v>
      </c>
      <c r="AB1552" t="s">
        <v>142</v>
      </c>
      <c r="AC1552" t="s">
        <v>143</v>
      </c>
      <c r="AD1552" t="s">
        <v>40</v>
      </c>
      <c r="AE1552" t="str">
        <f t="shared" si="471"/>
        <v>05</v>
      </c>
      <c r="AF1552" t="s">
        <v>40</v>
      </c>
    </row>
    <row r="1553" spans="1:32" x14ac:dyDescent="0.25">
      <c r="A1553">
        <v>5</v>
      </c>
      <c r="B1553">
        <v>420</v>
      </c>
      <c r="C1553" t="str">
        <f>"51"</f>
        <v>51</v>
      </c>
      <c r="D1553">
        <v>6259</v>
      </c>
      <c r="E1553" t="str">
        <f>"55"</f>
        <v>55</v>
      </c>
      <c r="F1553" t="str">
        <f t="shared" si="464"/>
        <v>999</v>
      </c>
      <c r="G1553">
        <v>5</v>
      </c>
      <c r="H1553" t="str">
        <f t="shared" si="472"/>
        <v>99</v>
      </c>
      <c r="I1553" t="str">
        <f t="shared" si="468"/>
        <v>0</v>
      </c>
      <c r="J1553" t="str">
        <f t="shared" si="463"/>
        <v>00</v>
      </c>
      <c r="K1553">
        <v>20150513</v>
      </c>
      <c r="L1553" t="str">
        <f>"014987"</f>
        <v>014987</v>
      </c>
      <c r="M1553" t="str">
        <f>"00306"</f>
        <v>00306</v>
      </c>
      <c r="N1553" t="s">
        <v>754</v>
      </c>
      <c r="O1553">
        <v>659.4</v>
      </c>
      <c r="Q1553" t="s">
        <v>33</v>
      </c>
      <c r="R1553" t="s">
        <v>34</v>
      </c>
      <c r="S1553" t="s">
        <v>35</v>
      </c>
      <c r="T1553" t="s">
        <v>35</v>
      </c>
      <c r="U1553" t="s">
        <v>34</v>
      </c>
      <c r="V1553" t="str">
        <f>""</f>
        <v/>
      </c>
      <c r="W1553">
        <v>20150512</v>
      </c>
      <c r="X1553" t="s">
        <v>243</v>
      </c>
      <c r="Y1553" t="s">
        <v>244</v>
      </c>
      <c r="Z1553" t="s">
        <v>244</v>
      </c>
      <c r="AA1553">
        <v>0</v>
      </c>
      <c r="AB1553" t="s">
        <v>142</v>
      </c>
      <c r="AC1553" t="s">
        <v>143</v>
      </c>
      <c r="AD1553" t="s">
        <v>40</v>
      </c>
      <c r="AE1553" t="str">
        <f t="shared" si="471"/>
        <v>05</v>
      </c>
      <c r="AF1553" t="s">
        <v>40</v>
      </c>
    </row>
    <row r="1554" spans="1:32" x14ac:dyDescent="0.25">
      <c r="A1554">
        <v>5</v>
      </c>
      <c r="B1554">
        <v>420</v>
      </c>
      <c r="C1554" t="str">
        <f>"51"</f>
        <v>51</v>
      </c>
      <c r="D1554">
        <v>6259</v>
      </c>
      <c r="E1554" t="str">
        <f>"55"</f>
        <v>55</v>
      </c>
      <c r="F1554" t="str">
        <f t="shared" si="464"/>
        <v>999</v>
      </c>
      <c r="G1554">
        <v>5</v>
      </c>
      <c r="H1554" t="str">
        <f t="shared" si="472"/>
        <v>99</v>
      </c>
      <c r="I1554" t="str">
        <f t="shared" si="468"/>
        <v>0</v>
      </c>
      <c r="J1554" t="str">
        <f t="shared" si="463"/>
        <v>00</v>
      </c>
      <c r="K1554">
        <v>20150513</v>
      </c>
      <c r="L1554" t="str">
        <f>"014987"</f>
        <v>014987</v>
      </c>
      <c r="M1554" t="str">
        <f>"00306"</f>
        <v>00306</v>
      </c>
      <c r="N1554" t="s">
        <v>754</v>
      </c>
      <c r="O1554">
        <v>404.73</v>
      </c>
      <c r="Q1554" t="s">
        <v>33</v>
      </c>
      <c r="R1554" t="s">
        <v>34</v>
      </c>
      <c r="S1554" t="s">
        <v>35</v>
      </c>
      <c r="T1554" t="s">
        <v>35</v>
      </c>
      <c r="U1554" t="s">
        <v>34</v>
      </c>
      <c r="V1554" t="str">
        <f>""</f>
        <v/>
      </c>
      <c r="W1554">
        <v>20150512</v>
      </c>
      <c r="X1554" t="s">
        <v>243</v>
      </c>
      <c r="Y1554" t="s">
        <v>244</v>
      </c>
      <c r="Z1554" t="s">
        <v>244</v>
      </c>
      <c r="AA1554">
        <v>0</v>
      </c>
      <c r="AB1554" t="s">
        <v>142</v>
      </c>
      <c r="AC1554" t="s">
        <v>143</v>
      </c>
      <c r="AD1554" t="s">
        <v>40</v>
      </c>
      <c r="AE1554" t="str">
        <f t="shared" si="471"/>
        <v>05</v>
      </c>
      <c r="AF1554" t="s">
        <v>40</v>
      </c>
    </row>
    <row r="1555" spans="1:32" x14ac:dyDescent="0.25">
      <c r="A1555">
        <v>5</v>
      </c>
      <c r="B1555">
        <v>240</v>
      </c>
      <c r="C1555" t="str">
        <f>"35"</f>
        <v>35</v>
      </c>
      <c r="D1555">
        <v>6341</v>
      </c>
      <c r="E1555" t="str">
        <f t="shared" ref="E1555:E1562" si="473">"00"</f>
        <v>00</v>
      </c>
      <c r="F1555" t="str">
        <f t="shared" si="464"/>
        <v>999</v>
      </c>
      <c r="G1555">
        <v>5</v>
      </c>
      <c r="H1555" t="str">
        <f t="shared" si="472"/>
        <v>99</v>
      </c>
      <c r="I1555" t="str">
        <f t="shared" si="468"/>
        <v>0</v>
      </c>
      <c r="J1555" t="str">
        <f t="shared" ref="J1555:J1586" si="474">"00"</f>
        <v>00</v>
      </c>
      <c r="K1555">
        <v>20150513</v>
      </c>
      <c r="L1555" t="str">
        <f>"014988"</f>
        <v>014988</v>
      </c>
      <c r="M1555" t="str">
        <f>"00391"</f>
        <v>00391</v>
      </c>
      <c r="N1555" t="s">
        <v>857</v>
      </c>
      <c r="O1555" s="1">
        <v>3299.52</v>
      </c>
      <c r="Q1555" t="s">
        <v>33</v>
      </c>
      <c r="R1555" t="s">
        <v>34</v>
      </c>
      <c r="S1555" t="s">
        <v>35</v>
      </c>
      <c r="T1555" t="s">
        <v>35</v>
      </c>
      <c r="U1555" t="s">
        <v>34</v>
      </c>
      <c r="V1555" t="str">
        <f>""</f>
        <v/>
      </c>
      <c r="W1555">
        <v>20150512</v>
      </c>
      <c r="X1555" t="s">
        <v>268</v>
      </c>
      <c r="Y1555" t="s">
        <v>573</v>
      </c>
      <c r="Z1555" t="s">
        <v>573</v>
      </c>
      <c r="AA1555">
        <v>0</v>
      </c>
      <c r="AB1555" t="s">
        <v>238</v>
      </c>
      <c r="AC1555" t="s">
        <v>143</v>
      </c>
      <c r="AD1555" t="s">
        <v>40</v>
      </c>
      <c r="AE1555" t="str">
        <f t="shared" si="471"/>
        <v>05</v>
      </c>
      <c r="AF1555" t="s">
        <v>40</v>
      </c>
    </row>
    <row r="1556" spans="1:32" x14ac:dyDescent="0.25">
      <c r="A1556">
        <v>5</v>
      </c>
      <c r="B1556">
        <v>240</v>
      </c>
      <c r="C1556" t="str">
        <f>"35"</f>
        <v>35</v>
      </c>
      <c r="D1556">
        <v>6341</v>
      </c>
      <c r="E1556" t="str">
        <f t="shared" si="473"/>
        <v>00</v>
      </c>
      <c r="F1556" t="str">
        <f t="shared" si="464"/>
        <v>999</v>
      </c>
      <c r="G1556">
        <v>5</v>
      </c>
      <c r="H1556" t="str">
        <f t="shared" si="472"/>
        <v>99</v>
      </c>
      <c r="I1556" t="str">
        <f t="shared" si="468"/>
        <v>0</v>
      </c>
      <c r="J1556" t="str">
        <f t="shared" si="474"/>
        <v>00</v>
      </c>
      <c r="K1556">
        <v>20150513</v>
      </c>
      <c r="L1556" t="str">
        <f>"014988"</f>
        <v>014988</v>
      </c>
      <c r="M1556" t="str">
        <f>"00391"</f>
        <v>00391</v>
      </c>
      <c r="N1556" t="s">
        <v>857</v>
      </c>
      <c r="O1556">
        <v>361.39</v>
      </c>
      <c r="Q1556" t="s">
        <v>33</v>
      </c>
      <c r="R1556" t="s">
        <v>34</v>
      </c>
      <c r="S1556" t="s">
        <v>35</v>
      </c>
      <c r="T1556" t="s">
        <v>35</v>
      </c>
      <c r="U1556" t="s">
        <v>34</v>
      </c>
      <c r="V1556" t="str">
        <f>""</f>
        <v/>
      </c>
      <c r="W1556">
        <v>20150512</v>
      </c>
      <c r="X1556" t="s">
        <v>268</v>
      </c>
      <c r="Y1556" t="s">
        <v>573</v>
      </c>
      <c r="Z1556" t="s">
        <v>573</v>
      </c>
      <c r="AA1556">
        <v>0</v>
      </c>
      <c r="AB1556" t="s">
        <v>238</v>
      </c>
      <c r="AC1556" t="s">
        <v>143</v>
      </c>
      <c r="AD1556" t="s">
        <v>40</v>
      </c>
      <c r="AE1556" t="str">
        <f t="shared" si="471"/>
        <v>05</v>
      </c>
      <c r="AF1556" t="s">
        <v>40</v>
      </c>
    </row>
    <row r="1557" spans="1:32" x14ac:dyDescent="0.25">
      <c r="A1557">
        <v>5</v>
      </c>
      <c r="B1557">
        <v>240</v>
      </c>
      <c r="C1557" t="str">
        <f>"35"</f>
        <v>35</v>
      </c>
      <c r="D1557">
        <v>6341</v>
      </c>
      <c r="E1557" t="str">
        <f t="shared" si="473"/>
        <v>00</v>
      </c>
      <c r="F1557" t="str">
        <f t="shared" si="464"/>
        <v>999</v>
      </c>
      <c r="G1557">
        <v>5</v>
      </c>
      <c r="H1557" t="str">
        <f t="shared" si="472"/>
        <v>99</v>
      </c>
      <c r="I1557" t="str">
        <f t="shared" si="468"/>
        <v>0</v>
      </c>
      <c r="J1557" t="str">
        <f t="shared" si="474"/>
        <v>00</v>
      </c>
      <c r="K1557">
        <v>20150513</v>
      </c>
      <c r="L1557" t="str">
        <f>"014988"</f>
        <v>014988</v>
      </c>
      <c r="M1557" t="str">
        <f>"00391"</f>
        <v>00391</v>
      </c>
      <c r="N1557" t="s">
        <v>857</v>
      </c>
      <c r="O1557">
        <v>465.34</v>
      </c>
      <c r="Q1557" t="s">
        <v>33</v>
      </c>
      <c r="R1557" t="s">
        <v>34</v>
      </c>
      <c r="S1557" t="s">
        <v>35</v>
      </c>
      <c r="T1557" t="s">
        <v>35</v>
      </c>
      <c r="U1557" t="s">
        <v>34</v>
      </c>
      <c r="V1557" t="str">
        <f>""</f>
        <v/>
      </c>
      <c r="W1557">
        <v>20150512</v>
      </c>
      <c r="X1557" t="s">
        <v>268</v>
      </c>
      <c r="Y1557" t="s">
        <v>573</v>
      </c>
      <c r="Z1557" t="s">
        <v>573</v>
      </c>
      <c r="AA1557">
        <v>0</v>
      </c>
      <c r="AB1557" t="s">
        <v>238</v>
      </c>
      <c r="AC1557" t="s">
        <v>143</v>
      </c>
      <c r="AD1557" t="s">
        <v>40</v>
      </c>
      <c r="AE1557" t="str">
        <f t="shared" si="471"/>
        <v>05</v>
      </c>
      <c r="AF1557" t="s">
        <v>40</v>
      </c>
    </row>
    <row r="1558" spans="1:32" x14ac:dyDescent="0.25">
      <c r="A1558">
        <v>5</v>
      </c>
      <c r="B1558">
        <v>420</v>
      </c>
      <c r="C1558" t="str">
        <f>"36"</f>
        <v>36</v>
      </c>
      <c r="D1558">
        <v>6399</v>
      </c>
      <c r="E1558" t="str">
        <f t="shared" si="473"/>
        <v>00</v>
      </c>
      <c r="F1558" t="str">
        <f>"001"</f>
        <v>001</v>
      </c>
      <c r="G1558">
        <v>5</v>
      </c>
      <c r="H1558" t="str">
        <f>"91"</f>
        <v>91</v>
      </c>
      <c r="I1558" t="str">
        <f t="shared" si="468"/>
        <v>0</v>
      </c>
      <c r="J1558" t="str">
        <f t="shared" si="474"/>
        <v>00</v>
      </c>
      <c r="K1558">
        <v>20150513</v>
      </c>
      <c r="L1558" t="str">
        <f>"014989"</f>
        <v>014989</v>
      </c>
      <c r="M1558" t="str">
        <f>"00339"</f>
        <v>00339</v>
      </c>
      <c r="N1558" t="s">
        <v>703</v>
      </c>
      <c r="O1558">
        <v>384</v>
      </c>
      <c r="Q1558" t="s">
        <v>33</v>
      </c>
      <c r="R1558" t="s">
        <v>34</v>
      </c>
      <c r="S1558" t="s">
        <v>35</v>
      </c>
      <c r="T1558" t="s">
        <v>35</v>
      </c>
      <c r="U1558" t="s">
        <v>34</v>
      </c>
      <c r="V1558" t="str">
        <f>""</f>
        <v/>
      </c>
      <c r="W1558">
        <v>20150512</v>
      </c>
      <c r="X1558" t="s">
        <v>599</v>
      </c>
      <c r="Y1558" t="s">
        <v>872</v>
      </c>
      <c r="Z1558" t="s">
        <v>872</v>
      </c>
      <c r="AA1558">
        <v>0</v>
      </c>
      <c r="AB1558" t="s">
        <v>142</v>
      </c>
      <c r="AC1558" t="s">
        <v>41</v>
      </c>
      <c r="AD1558" t="s">
        <v>40</v>
      </c>
      <c r="AE1558" t="str">
        <f t="shared" si="471"/>
        <v>05</v>
      </c>
      <c r="AF1558" t="s">
        <v>40</v>
      </c>
    </row>
    <row r="1559" spans="1:32" x14ac:dyDescent="0.25">
      <c r="A1559">
        <v>5</v>
      </c>
      <c r="B1559">
        <v>420</v>
      </c>
      <c r="C1559" t="str">
        <f>"36"</f>
        <v>36</v>
      </c>
      <c r="D1559">
        <v>6399</v>
      </c>
      <c r="E1559" t="str">
        <f t="shared" si="473"/>
        <v>00</v>
      </c>
      <c r="F1559" t="str">
        <f>"001"</f>
        <v>001</v>
      </c>
      <c r="G1559">
        <v>5</v>
      </c>
      <c r="H1559" t="str">
        <f>"91"</f>
        <v>91</v>
      </c>
      <c r="I1559" t="str">
        <f t="shared" si="468"/>
        <v>0</v>
      </c>
      <c r="J1559" t="str">
        <f t="shared" si="474"/>
        <v>00</v>
      </c>
      <c r="K1559">
        <v>20150513</v>
      </c>
      <c r="L1559" t="str">
        <f>"014989"</f>
        <v>014989</v>
      </c>
      <c r="M1559" t="str">
        <f>"00339"</f>
        <v>00339</v>
      </c>
      <c r="N1559" t="s">
        <v>703</v>
      </c>
      <c r="O1559">
        <v>631</v>
      </c>
      <c r="Q1559" t="s">
        <v>33</v>
      </c>
      <c r="R1559" t="s">
        <v>34</v>
      </c>
      <c r="S1559" t="s">
        <v>35</v>
      </c>
      <c r="T1559" t="s">
        <v>35</v>
      </c>
      <c r="U1559" t="s">
        <v>34</v>
      </c>
      <c r="V1559" t="str">
        <f>""</f>
        <v/>
      </c>
      <c r="W1559">
        <v>20150512</v>
      </c>
      <c r="X1559" t="s">
        <v>599</v>
      </c>
      <c r="Y1559" t="s">
        <v>872</v>
      </c>
      <c r="Z1559" t="s">
        <v>872</v>
      </c>
      <c r="AA1559">
        <v>0</v>
      </c>
      <c r="AB1559" t="s">
        <v>142</v>
      </c>
      <c r="AC1559" t="s">
        <v>41</v>
      </c>
      <c r="AD1559" t="s">
        <v>40</v>
      </c>
      <c r="AE1559" t="str">
        <f t="shared" si="471"/>
        <v>05</v>
      </c>
      <c r="AF1559" t="s">
        <v>40</v>
      </c>
    </row>
    <row r="1560" spans="1:32" x14ac:dyDescent="0.25">
      <c r="A1560">
        <v>5</v>
      </c>
      <c r="B1560">
        <v>420</v>
      </c>
      <c r="C1560" t="str">
        <f>"36"</f>
        <v>36</v>
      </c>
      <c r="D1560">
        <v>6399</v>
      </c>
      <c r="E1560" t="str">
        <f t="shared" si="473"/>
        <v>00</v>
      </c>
      <c r="F1560" t="str">
        <f>"001"</f>
        <v>001</v>
      </c>
      <c r="G1560">
        <v>5</v>
      </c>
      <c r="H1560" t="str">
        <f>"91"</f>
        <v>91</v>
      </c>
      <c r="I1560" t="str">
        <f t="shared" si="468"/>
        <v>0</v>
      </c>
      <c r="J1560" t="str">
        <f t="shared" si="474"/>
        <v>00</v>
      </c>
      <c r="K1560">
        <v>20150513</v>
      </c>
      <c r="L1560" t="str">
        <f>"014989"</f>
        <v>014989</v>
      </c>
      <c r="M1560" t="str">
        <f>"00339"</f>
        <v>00339</v>
      </c>
      <c r="N1560" t="s">
        <v>703</v>
      </c>
      <c r="O1560">
        <v>130</v>
      </c>
      <c r="Q1560" t="s">
        <v>33</v>
      </c>
      <c r="R1560" t="s">
        <v>34</v>
      </c>
      <c r="S1560" t="s">
        <v>35</v>
      </c>
      <c r="T1560" t="s">
        <v>35</v>
      </c>
      <c r="U1560" t="s">
        <v>34</v>
      </c>
      <c r="V1560" t="str">
        <f>""</f>
        <v/>
      </c>
      <c r="W1560">
        <v>20150512</v>
      </c>
      <c r="X1560" t="s">
        <v>599</v>
      </c>
      <c r="Y1560" t="s">
        <v>872</v>
      </c>
      <c r="Z1560" t="s">
        <v>872</v>
      </c>
      <c r="AA1560">
        <v>0</v>
      </c>
      <c r="AB1560" t="s">
        <v>142</v>
      </c>
      <c r="AC1560" t="s">
        <v>41</v>
      </c>
      <c r="AD1560" t="s">
        <v>40</v>
      </c>
      <c r="AE1560" t="str">
        <f t="shared" si="471"/>
        <v>05</v>
      </c>
      <c r="AF1560" t="s">
        <v>40</v>
      </c>
    </row>
    <row r="1561" spans="1:32" x14ac:dyDescent="0.25">
      <c r="A1561">
        <v>5</v>
      </c>
      <c r="B1561">
        <v>420</v>
      </c>
      <c r="C1561" t="str">
        <f>"36"</f>
        <v>36</v>
      </c>
      <c r="D1561">
        <v>6399</v>
      </c>
      <c r="E1561" t="str">
        <f t="shared" si="473"/>
        <v>00</v>
      </c>
      <c r="F1561" t="str">
        <f>"001"</f>
        <v>001</v>
      </c>
      <c r="G1561">
        <v>5</v>
      </c>
      <c r="H1561" t="str">
        <f>"91"</f>
        <v>91</v>
      </c>
      <c r="I1561" t="str">
        <f t="shared" si="468"/>
        <v>0</v>
      </c>
      <c r="J1561" t="str">
        <f t="shared" si="474"/>
        <v>00</v>
      </c>
      <c r="K1561">
        <v>20150513</v>
      </c>
      <c r="L1561" t="str">
        <f>"014989"</f>
        <v>014989</v>
      </c>
      <c r="M1561" t="str">
        <f>"00339"</f>
        <v>00339</v>
      </c>
      <c r="N1561" t="s">
        <v>703</v>
      </c>
      <c r="O1561">
        <v>39</v>
      </c>
      <c r="Q1561" t="s">
        <v>33</v>
      </c>
      <c r="R1561" t="s">
        <v>34</v>
      </c>
      <c r="S1561" t="s">
        <v>35</v>
      </c>
      <c r="T1561" t="s">
        <v>35</v>
      </c>
      <c r="U1561" t="s">
        <v>34</v>
      </c>
      <c r="V1561" t="str">
        <f>""</f>
        <v/>
      </c>
      <c r="W1561">
        <v>20150512</v>
      </c>
      <c r="X1561" t="s">
        <v>599</v>
      </c>
      <c r="Y1561" t="s">
        <v>872</v>
      </c>
      <c r="Z1561" t="s">
        <v>872</v>
      </c>
      <c r="AA1561">
        <v>0</v>
      </c>
      <c r="AB1561" t="s">
        <v>142</v>
      </c>
      <c r="AC1561" t="s">
        <v>41</v>
      </c>
      <c r="AD1561" t="s">
        <v>40</v>
      </c>
      <c r="AE1561" t="str">
        <f t="shared" si="471"/>
        <v>05</v>
      </c>
      <c r="AF1561" t="s">
        <v>40</v>
      </c>
    </row>
    <row r="1562" spans="1:32" x14ac:dyDescent="0.25">
      <c r="A1562">
        <v>5</v>
      </c>
      <c r="B1562">
        <v>420</v>
      </c>
      <c r="C1562" t="str">
        <f>"36"</f>
        <v>36</v>
      </c>
      <c r="D1562">
        <v>6399</v>
      </c>
      <c r="E1562" t="str">
        <f t="shared" si="473"/>
        <v>00</v>
      </c>
      <c r="F1562" t="str">
        <f>"001"</f>
        <v>001</v>
      </c>
      <c r="G1562">
        <v>5</v>
      </c>
      <c r="H1562" t="str">
        <f>"91"</f>
        <v>91</v>
      </c>
      <c r="I1562" t="str">
        <f t="shared" si="468"/>
        <v>0</v>
      </c>
      <c r="J1562" t="str">
        <f t="shared" si="474"/>
        <v>00</v>
      </c>
      <c r="K1562">
        <v>20150513</v>
      </c>
      <c r="L1562" t="str">
        <f>"014989"</f>
        <v>014989</v>
      </c>
      <c r="M1562" t="str">
        <f>"00339"</f>
        <v>00339</v>
      </c>
      <c r="N1562" t="s">
        <v>703</v>
      </c>
      <c r="O1562">
        <v>91</v>
      </c>
      <c r="Q1562" t="s">
        <v>33</v>
      </c>
      <c r="R1562" t="s">
        <v>34</v>
      </c>
      <c r="S1562" t="s">
        <v>35</v>
      </c>
      <c r="T1562" t="s">
        <v>35</v>
      </c>
      <c r="U1562" t="s">
        <v>34</v>
      </c>
      <c r="V1562" t="str">
        <f>""</f>
        <v/>
      </c>
      <c r="W1562">
        <v>20150512</v>
      </c>
      <c r="X1562" t="s">
        <v>599</v>
      </c>
      <c r="Y1562" t="s">
        <v>872</v>
      </c>
      <c r="Z1562" t="s">
        <v>872</v>
      </c>
      <c r="AA1562">
        <v>0</v>
      </c>
      <c r="AB1562" t="s">
        <v>142</v>
      </c>
      <c r="AC1562" t="s">
        <v>41</v>
      </c>
      <c r="AD1562" t="s">
        <v>40</v>
      </c>
      <c r="AE1562" t="str">
        <f t="shared" si="471"/>
        <v>05</v>
      </c>
      <c r="AF1562" t="s">
        <v>40</v>
      </c>
    </row>
    <row r="1563" spans="1:32" x14ac:dyDescent="0.25">
      <c r="A1563">
        <v>5</v>
      </c>
      <c r="B1563">
        <v>420</v>
      </c>
      <c r="C1563" t="str">
        <f>"51"</f>
        <v>51</v>
      </c>
      <c r="D1563">
        <v>6259</v>
      </c>
      <c r="E1563" t="str">
        <f>"54"</f>
        <v>54</v>
      </c>
      <c r="F1563" t="str">
        <f>"999"</f>
        <v>999</v>
      </c>
      <c r="G1563">
        <v>5</v>
      </c>
      <c r="H1563" t="str">
        <f>"99"</f>
        <v>99</v>
      </c>
      <c r="I1563" t="str">
        <f t="shared" si="468"/>
        <v>0</v>
      </c>
      <c r="J1563" t="str">
        <f t="shared" si="474"/>
        <v>00</v>
      </c>
      <c r="K1563">
        <v>20150513</v>
      </c>
      <c r="L1563" t="str">
        <f>"014990"</f>
        <v>014990</v>
      </c>
      <c r="M1563" t="str">
        <f>"00581"</f>
        <v>00581</v>
      </c>
      <c r="N1563" t="s">
        <v>248</v>
      </c>
      <c r="O1563">
        <v>484.82</v>
      </c>
      <c r="Q1563" t="s">
        <v>33</v>
      </c>
      <c r="R1563" t="s">
        <v>34</v>
      </c>
      <c r="S1563" t="s">
        <v>35</v>
      </c>
      <c r="T1563" t="s">
        <v>35</v>
      </c>
      <c r="U1563" t="s">
        <v>34</v>
      </c>
      <c r="V1563" t="str">
        <f>""</f>
        <v/>
      </c>
      <c r="W1563">
        <v>20150513</v>
      </c>
      <c r="X1563" t="s">
        <v>216</v>
      </c>
      <c r="Y1563" t="s">
        <v>542</v>
      </c>
      <c r="Z1563" t="s">
        <v>542</v>
      </c>
      <c r="AA1563">
        <v>0</v>
      </c>
      <c r="AB1563" t="s">
        <v>142</v>
      </c>
      <c r="AC1563" t="s">
        <v>143</v>
      </c>
      <c r="AD1563" t="s">
        <v>40</v>
      </c>
      <c r="AE1563" t="str">
        <f t="shared" si="471"/>
        <v>05</v>
      </c>
      <c r="AF1563" t="s">
        <v>40</v>
      </c>
    </row>
    <row r="1564" spans="1:32" x14ac:dyDescent="0.25">
      <c r="A1564">
        <v>5</v>
      </c>
      <c r="B1564">
        <v>211</v>
      </c>
      <c r="C1564" t="str">
        <f>"11"</f>
        <v>11</v>
      </c>
      <c r="D1564">
        <v>6399</v>
      </c>
      <c r="E1564" t="str">
        <f>"00"</f>
        <v>00</v>
      </c>
      <c r="F1564" t="str">
        <f>"101"</f>
        <v>101</v>
      </c>
      <c r="G1564">
        <v>5</v>
      </c>
      <c r="H1564" t="str">
        <f>"30"</f>
        <v>30</v>
      </c>
      <c r="I1564" t="str">
        <f t="shared" si="468"/>
        <v>0</v>
      </c>
      <c r="J1564" t="str">
        <f t="shared" si="474"/>
        <v>00</v>
      </c>
      <c r="K1564">
        <v>20150513</v>
      </c>
      <c r="L1564" t="str">
        <f>"014991"</f>
        <v>014991</v>
      </c>
      <c r="M1564" t="str">
        <f>"00642"</f>
        <v>00642</v>
      </c>
      <c r="N1564" t="s">
        <v>860</v>
      </c>
      <c r="O1564">
        <v>10.48</v>
      </c>
      <c r="Q1564" t="s">
        <v>33</v>
      </c>
      <c r="R1564" t="s">
        <v>34</v>
      </c>
      <c r="S1564" t="s">
        <v>35</v>
      </c>
      <c r="T1564" t="s">
        <v>35</v>
      </c>
      <c r="U1564" t="s">
        <v>34</v>
      </c>
      <c r="V1564" t="str">
        <f>""</f>
        <v/>
      </c>
      <c r="W1564">
        <v>20150512</v>
      </c>
      <c r="X1564" t="s">
        <v>422</v>
      </c>
      <c r="Y1564" t="s">
        <v>873</v>
      </c>
      <c r="Z1564" t="s">
        <v>873</v>
      </c>
      <c r="AA1564">
        <v>0</v>
      </c>
      <c r="AB1564" t="s">
        <v>174</v>
      </c>
      <c r="AC1564" t="s">
        <v>41</v>
      </c>
      <c r="AD1564" t="s">
        <v>40</v>
      </c>
      <c r="AE1564" t="str">
        <f t="shared" si="471"/>
        <v>05</v>
      </c>
      <c r="AF1564" t="s">
        <v>40</v>
      </c>
    </row>
    <row r="1565" spans="1:32" x14ac:dyDescent="0.25">
      <c r="A1565">
        <v>5</v>
      </c>
      <c r="B1565">
        <v>420</v>
      </c>
      <c r="C1565" t="str">
        <f>"51"</f>
        <v>51</v>
      </c>
      <c r="D1565">
        <v>6259</v>
      </c>
      <c r="E1565" t="str">
        <f>"54"</f>
        <v>54</v>
      </c>
      <c r="F1565" t="str">
        <f>"999"</f>
        <v>999</v>
      </c>
      <c r="G1565">
        <v>5</v>
      </c>
      <c r="H1565" t="str">
        <f>"99"</f>
        <v>99</v>
      </c>
      <c r="I1565" t="str">
        <f t="shared" si="468"/>
        <v>0</v>
      </c>
      <c r="J1565" t="str">
        <f t="shared" si="474"/>
        <v>00</v>
      </c>
      <c r="K1565">
        <v>20150513</v>
      </c>
      <c r="L1565" t="str">
        <f>"014992"</f>
        <v>014992</v>
      </c>
      <c r="M1565" t="str">
        <f>"00591"</f>
        <v>00591</v>
      </c>
      <c r="N1565" t="s">
        <v>272</v>
      </c>
      <c r="O1565" s="1">
        <v>2172.16</v>
      </c>
      <c r="Q1565" t="s">
        <v>33</v>
      </c>
      <c r="R1565" t="s">
        <v>34</v>
      </c>
      <c r="S1565" t="s">
        <v>35</v>
      </c>
      <c r="T1565" t="s">
        <v>35</v>
      </c>
      <c r="U1565" t="s">
        <v>34</v>
      </c>
      <c r="V1565" t="str">
        <f>""</f>
        <v/>
      </c>
      <c r="W1565">
        <v>20150513</v>
      </c>
      <c r="X1565" t="s">
        <v>216</v>
      </c>
      <c r="Y1565" t="s">
        <v>542</v>
      </c>
      <c r="Z1565" t="s">
        <v>542</v>
      </c>
      <c r="AA1565">
        <v>0</v>
      </c>
      <c r="AB1565" t="s">
        <v>142</v>
      </c>
      <c r="AC1565" t="s">
        <v>143</v>
      </c>
      <c r="AD1565" t="s">
        <v>40</v>
      </c>
      <c r="AE1565" t="str">
        <f t="shared" si="471"/>
        <v>05</v>
      </c>
      <c r="AF1565" t="s">
        <v>40</v>
      </c>
    </row>
    <row r="1566" spans="1:32" x14ac:dyDescent="0.25">
      <c r="A1566">
        <v>5</v>
      </c>
      <c r="B1566">
        <v>240</v>
      </c>
      <c r="C1566" t="str">
        <f>"35"</f>
        <v>35</v>
      </c>
      <c r="D1566">
        <v>6299</v>
      </c>
      <c r="E1566" t="str">
        <f t="shared" ref="E1566:E1597" si="475">"00"</f>
        <v>00</v>
      </c>
      <c r="F1566" t="str">
        <f>"999"</f>
        <v>999</v>
      </c>
      <c r="G1566">
        <v>5</v>
      </c>
      <c r="H1566" t="str">
        <f>"99"</f>
        <v>99</v>
      </c>
      <c r="I1566" t="str">
        <f t="shared" si="468"/>
        <v>0</v>
      </c>
      <c r="J1566" t="str">
        <f t="shared" si="474"/>
        <v>00</v>
      </c>
      <c r="K1566">
        <v>20150513</v>
      </c>
      <c r="L1566" t="str">
        <f>"014993"</f>
        <v>014993</v>
      </c>
      <c r="M1566" t="str">
        <f>"00577"</f>
        <v>00577</v>
      </c>
      <c r="N1566" t="s">
        <v>251</v>
      </c>
      <c r="O1566">
        <v>25.64</v>
      </c>
      <c r="Q1566" t="s">
        <v>33</v>
      </c>
      <c r="R1566" t="s">
        <v>34</v>
      </c>
      <c r="S1566" t="s">
        <v>35</v>
      </c>
      <c r="T1566" t="s">
        <v>35</v>
      </c>
      <c r="U1566" t="s">
        <v>34</v>
      </c>
      <c r="V1566" t="str">
        <f>""</f>
        <v/>
      </c>
      <c r="W1566">
        <v>20150512</v>
      </c>
      <c r="X1566" t="s">
        <v>252</v>
      </c>
      <c r="Y1566" t="s">
        <v>253</v>
      </c>
      <c r="Z1566" t="s">
        <v>253</v>
      </c>
      <c r="AA1566">
        <v>0</v>
      </c>
      <c r="AB1566" t="s">
        <v>238</v>
      </c>
      <c r="AC1566" t="s">
        <v>143</v>
      </c>
      <c r="AD1566" t="s">
        <v>40</v>
      </c>
      <c r="AE1566" t="str">
        <f t="shared" si="471"/>
        <v>05</v>
      </c>
      <c r="AF1566" t="s">
        <v>40</v>
      </c>
    </row>
    <row r="1567" spans="1:32" x14ac:dyDescent="0.25">
      <c r="A1567">
        <v>5</v>
      </c>
      <c r="B1567">
        <v>420</v>
      </c>
      <c r="C1567" t="str">
        <f>"51"</f>
        <v>51</v>
      </c>
      <c r="D1567">
        <v>6299</v>
      </c>
      <c r="E1567" t="str">
        <f t="shared" si="475"/>
        <v>00</v>
      </c>
      <c r="F1567" t="str">
        <f>"999"</f>
        <v>999</v>
      </c>
      <c r="G1567">
        <v>5</v>
      </c>
      <c r="H1567" t="str">
        <f>"99"</f>
        <v>99</v>
      </c>
      <c r="I1567" t="str">
        <f t="shared" si="468"/>
        <v>0</v>
      </c>
      <c r="J1567" t="str">
        <f t="shared" si="474"/>
        <v>00</v>
      </c>
      <c r="K1567">
        <v>20150513</v>
      </c>
      <c r="L1567" t="str">
        <f>"014993"</f>
        <v>014993</v>
      </c>
      <c r="M1567" t="str">
        <f>"00577"</f>
        <v>00577</v>
      </c>
      <c r="N1567" t="s">
        <v>251</v>
      </c>
      <c r="O1567">
        <v>63.71</v>
      </c>
      <c r="Q1567" t="s">
        <v>33</v>
      </c>
      <c r="R1567" t="s">
        <v>34</v>
      </c>
      <c r="S1567" t="s">
        <v>35</v>
      </c>
      <c r="T1567" t="s">
        <v>35</v>
      </c>
      <c r="U1567" t="s">
        <v>34</v>
      </c>
      <c r="V1567" t="str">
        <f>""</f>
        <v/>
      </c>
      <c r="W1567">
        <v>20150512</v>
      </c>
      <c r="X1567" t="s">
        <v>203</v>
      </c>
      <c r="Y1567" t="s">
        <v>253</v>
      </c>
      <c r="Z1567" t="s">
        <v>253</v>
      </c>
      <c r="AA1567">
        <v>0</v>
      </c>
      <c r="AB1567" t="s">
        <v>142</v>
      </c>
      <c r="AC1567" t="s">
        <v>143</v>
      </c>
      <c r="AD1567" t="s">
        <v>40</v>
      </c>
      <c r="AE1567" t="str">
        <f t="shared" si="471"/>
        <v>05</v>
      </c>
      <c r="AF1567" t="s">
        <v>40</v>
      </c>
    </row>
    <row r="1568" spans="1:32" x14ac:dyDescent="0.25">
      <c r="A1568">
        <v>5</v>
      </c>
      <c r="B1568">
        <v>420</v>
      </c>
      <c r="C1568" t="str">
        <f>"51"</f>
        <v>51</v>
      </c>
      <c r="D1568">
        <v>6319</v>
      </c>
      <c r="E1568" t="str">
        <f t="shared" si="475"/>
        <v>00</v>
      </c>
      <c r="F1568" t="str">
        <f>"999"</f>
        <v>999</v>
      </c>
      <c r="G1568">
        <v>5</v>
      </c>
      <c r="H1568" t="str">
        <f>"99"</f>
        <v>99</v>
      </c>
      <c r="I1568" t="str">
        <f t="shared" si="468"/>
        <v>0</v>
      </c>
      <c r="J1568" t="str">
        <f t="shared" si="474"/>
        <v>00</v>
      </c>
      <c r="K1568">
        <v>20150520</v>
      </c>
      <c r="L1568" t="str">
        <f>"014994"</f>
        <v>014994</v>
      </c>
      <c r="M1568" t="str">
        <f>"00599"</f>
        <v>00599</v>
      </c>
      <c r="N1568" t="s">
        <v>334</v>
      </c>
      <c r="O1568">
        <v>130</v>
      </c>
      <c r="Q1568" t="s">
        <v>33</v>
      </c>
      <c r="R1568" t="s">
        <v>34</v>
      </c>
      <c r="S1568" t="s">
        <v>35</v>
      </c>
      <c r="T1568" t="s">
        <v>35</v>
      </c>
      <c r="U1568" t="s">
        <v>34</v>
      </c>
      <c r="V1568" t="str">
        <f>""</f>
        <v/>
      </c>
      <c r="W1568">
        <v>20150518</v>
      </c>
      <c r="X1568" t="s">
        <v>185</v>
      </c>
      <c r="Y1568" t="s">
        <v>866</v>
      </c>
      <c r="Z1568" t="s">
        <v>866</v>
      </c>
      <c r="AA1568">
        <v>0</v>
      </c>
      <c r="AB1568" t="s">
        <v>142</v>
      </c>
      <c r="AC1568" t="s">
        <v>143</v>
      </c>
      <c r="AD1568" t="s">
        <v>40</v>
      </c>
      <c r="AE1568" t="str">
        <f t="shared" si="471"/>
        <v>05</v>
      </c>
      <c r="AF1568" t="s">
        <v>40</v>
      </c>
    </row>
    <row r="1569" spans="1:32" x14ac:dyDescent="0.25">
      <c r="A1569">
        <v>5</v>
      </c>
      <c r="B1569">
        <v>211</v>
      </c>
      <c r="C1569" t="str">
        <f>"11"</f>
        <v>11</v>
      </c>
      <c r="D1569">
        <v>6219</v>
      </c>
      <c r="E1569" t="str">
        <f t="shared" si="475"/>
        <v>00</v>
      </c>
      <c r="F1569" t="str">
        <f>"101"</f>
        <v>101</v>
      </c>
      <c r="G1569">
        <v>5</v>
      </c>
      <c r="H1569" t="str">
        <f>"30"</f>
        <v>30</v>
      </c>
      <c r="I1569" t="str">
        <f t="shared" si="468"/>
        <v>0</v>
      </c>
      <c r="J1569" t="str">
        <f t="shared" si="474"/>
        <v>00</v>
      </c>
      <c r="K1569">
        <v>20150520</v>
      </c>
      <c r="L1569" t="str">
        <f>"014995"</f>
        <v>014995</v>
      </c>
      <c r="M1569" t="str">
        <f>"00803"</f>
        <v>00803</v>
      </c>
      <c r="N1569" t="s">
        <v>744</v>
      </c>
      <c r="O1569" s="1">
        <v>1050</v>
      </c>
      <c r="Q1569" t="s">
        <v>33</v>
      </c>
      <c r="R1569" t="s">
        <v>34</v>
      </c>
      <c r="S1569" t="s">
        <v>35</v>
      </c>
      <c r="T1569" t="s">
        <v>35</v>
      </c>
      <c r="U1569" t="s">
        <v>34</v>
      </c>
      <c r="V1569" t="str">
        <f>""</f>
        <v/>
      </c>
      <c r="W1569">
        <v>20150518</v>
      </c>
      <c r="X1569" t="s">
        <v>181</v>
      </c>
      <c r="Y1569" t="s">
        <v>604</v>
      </c>
      <c r="Z1569" t="s">
        <v>604</v>
      </c>
      <c r="AA1569">
        <v>0</v>
      </c>
      <c r="AB1569" t="s">
        <v>174</v>
      </c>
      <c r="AC1569" t="s">
        <v>41</v>
      </c>
      <c r="AD1569" t="s">
        <v>40</v>
      </c>
      <c r="AE1569" t="str">
        <f t="shared" si="471"/>
        <v>05</v>
      </c>
      <c r="AF1569" t="s">
        <v>40</v>
      </c>
    </row>
    <row r="1570" spans="1:32" x14ac:dyDescent="0.25">
      <c r="A1570">
        <v>5</v>
      </c>
      <c r="B1570">
        <v>420</v>
      </c>
      <c r="C1570" t="str">
        <f>"61"</f>
        <v>61</v>
      </c>
      <c r="D1570">
        <v>6219</v>
      </c>
      <c r="E1570" t="str">
        <f t="shared" si="475"/>
        <v>00</v>
      </c>
      <c r="F1570" t="str">
        <f>"999"</f>
        <v>999</v>
      </c>
      <c r="G1570">
        <v>5</v>
      </c>
      <c r="H1570" t="str">
        <f>"11"</f>
        <v>11</v>
      </c>
      <c r="I1570" t="str">
        <f t="shared" si="468"/>
        <v>0</v>
      </c>
      <c r="J1570" t="str">
        <f t="shared" si="474"/>
        <v>00</v>
      </c>
      <c r="K1570">
        <v>20150520</v>
      </c>
      <c r="L1570" t="str">
        <f>"014996"</f>
        <v>014996</v>
      </c>
      <c r="M1570" t="str">
        <f>"00566"</f>
        <v>00566</v>
      </c>
      <c r="N1570" t="s">
        <v>221</v>
      </c>
      <c r="O1570">
        <v>67</v>
      </c>
      <c r="Q1570" t="s">
        <v>33</v>
      </c>
      <c r="R1570" t="s">
        <v>34</v>
      </c>
      <c r="S1570" t="s">
        <v>35</v>
      </c>
      <c r="T1570" t="s">
        <v>35</v>
      </c>
      <c r="U1570" t="s">
        <v>34</v>
      </c>
      <c r="V1570" t="str">
        <f>""</f>
        <v/>
      </c>
      <c r="W1570">
        <v>20150520</v>
      </c>
      <c r="X1570" t="s">
        <v>222</v>
      </c>
      <c r="Y1570" t="s">
        <v>699</v>
      </c>
      <c r="Z1570" t="s">
        <v>699</v>
      </c>
      <c r="AA1570">
        <v>0</v>
      </c>
      <c r="AB1570" t="s">
        <v>142</v>
      </c>
      <c r="AC1570" t="s">
        <v>143</v>
      </c>
      <c r="AD1570" t="s">
        <v>40</v>
      </c>
      <c r="AE1570" t="str">
        <f t="shared" si="471"/>
        <v>05</v>
      </c>
      <c r="AF1570" t="s">
        <v>40</v>
      </c>
    </row>
    <row r="1571" spans="1:32" x14ac:dyDescent="0.25">
      <c r="A1571">
        <v>5</v>
      </c>
      <c r="B1571">
        <v>420</v>
      </c>
      <c r="C1571" t="str">
        <f>"13"</f>
        <v>13</v>
      </c>
      <c r="D1571">
        <v>6399</v>
      </c>
      <c r="E1571" t="str">
        <f t="shared" si="475"/>
        <v>00</v>
      </c>
      <c r="F1571" t="str">
        <f>"001"</f>
        <v>001</v>
      </c>
      <c r="G1571">
        <v>5</v>
      </c>
      <c r="H1571" t="str">
        <f>"11"</f>
        <v>11</v>
      </c>
      <c r="I1571" t="str">
        <f t="shared" si="468"/>
        <v>0</v>
      </c>
      <c r="J1571" t="str">
        <f t="shared" si="474"/>
        <v>00</v>
      </c>
      <c r="K1571">
        <v>20150520</v>
      </c>
      <c r="L1571" t="str">
        <f>"014997"</f>
        <v>014997</v>
      </c>
      <c r="M1571" t="str">
        <f>"00301"</f>
        <v>00301</v>
      </c>
      <c r="N1571" t="s">
        <v>660</v>
      </c>
      <c r="O1571">
        <v>38.53</v>
      </c>
      <c r="Q1571" t="s">
        <v>33</v>
      </c>
      <c r="R1571" t="s">
        <v>34</v>
      </c>
      <c r="S1571" t="s">
        <v>35</v>
      </c>
      <c r="T1571" t="s">
        <v>35</v>
      </c>
      <c r="U1571" t="s">
        <v>34</v>
      </c>
      <c r="V1571" t="str">
        <f>""</f>
        <v/>
      </c>
      <c r="W1571">
        <v>20150520</v>
      </c>
      <c r="X1571" t="s">
        <v>390</v>
      </c>
      <c r="Y1571" t="s">
        <v>874</v>
      </c>
      <c r="Z1571" t="s">
        <v>874</v>
      </c>
      <c r="AA1571">
        <v>0</v>
      </c>
      <c r="AB1571" t="s">
        <v>142</v>
      </c>
      <c r="AC1571" t="s">
        <v>41</v>
      </c>
      <c r="AD1571" t="s">
        <v>40</v>
      </c>
      <c r="AE1571" t="str">
        <f t="shared" si="471"/>
        <v>05</v>
      </c>
      <c r="AF1571" t="s">
        <v>40</v>
      </c>
    </row>
    <row r="1572" spans="1:32" x14ac:dyDescent="0.25">
      <c r="A1572">
        <v>5</v>
      </c>
      <c r="B1572">
        <v>420</v>
      </c>
      <c r="C1572" t="str">
        <f>"13"</f>
        <v>13</v>
      </c>
      <c r="D1572">
        <v>6399</v>
      </c>
      <c r="E1572" t="str">
        <f t="shared" si="475"/>
        <v>00</v>
      </c>
      <c r="F1572" t="str">
        <f>"041"</f>
        <v>041</v>
      </c>
      <c r="G1572">
        <v>5</v>
      </c>
      <c r="H1572" t="str">
        <f>"11"</f>
        <v>11</v>
      </c>
      <c r="I1572" t="str">
        <f t="shared" si="468"/>
        <v>0</v>
      </c>
      <c r="J1572" t="str">
        <f t="shared" si="474"/>
        <v>00</v>
      </c>
      <c r="K1572">
        <v>20150520</v>
      </c>
      <c r="L1572" t="str">
        <f>"014997"</f>
        <v>014997</v>
      </c>
      <c r="M1572" t="str">
        <f>"00301"</f>
        <v>00301</v>
      </c>
      <c r="N1572" t="s">
        <v>660</v>
      </c>
      <c r="O1572">
        <v>56.51</v>
      </c>
      <c r="Q1572" t="s">
        <v>33</v>
      </c>
      <c r="R1572" t="s">
        <v>34</v>
      </c>
      <c r="S1572" t="s">
        <v>35</v>
      </c>
      <c r="T1572" t="s">
        <v>35</v>
      </c>
      <c r="U1572" t="s">
        <v>34</v>
      </c>
      <c r="V1572" t="str">
        <f>""</f>
        <v/>
      </c>
      <c r="W1572">
        <v>20150520</v>
      </c>
      <c r="X1572" t="s">
        <v>392</v>
      </c>
      <c r="Y1572" t="s">
        <v>874</v>
      </c>
      <c r="Z1572" t="s">
        <v>874</v>
      </c>
      <c r="AA1572">
        <v>0</v>
      </c>
      <c r="AB1572" t="s">
        <v>142</v>
      </c>
      <c r="AC1572" t="s">
        <v>41</v>
      </c>
      <c r="AD1572" t="s">
        <v>40</v>
      </c>
      <c r="AE1572" t="str">
        <f t="shared" si="471"/>
        <v>05</v>
      </c>
      <c r="AF1572" t="s">
        <v>40</v>
      </c>
    </row>
    <row r="1573" spans="1:32" x14ac:dyDescent="0.25">
      <c r="A1573">
        <v>5</v>
      </c>
      <c r="B1573">
        <v>420</v>
      </c>
      <c r="C1573" t="str">
        <f>"13"</f>
        <v>13</v>
      </c>
      <c r="D1573">
        <v>6399</v>
      </c>
      <c r="E1573" t="str">
        <f t="shared" si="475"/>
        <v>00</v>
      </c>
      <c r="F1573" t="str">
        <f>"101"</f>
        <v>101</v>
      </c>
      <c r="G1573">
        <v>5</v>
      </c>
      <c r="H1573" t="str">
        <f>"11"</f>
        <v>11</v>
      </c>
      <c r="I1573" t="str">
        <f t="shared" si="468"/>
        <v>0</v>
      </c>
      <c r="J1573" t="str">
        <f t="shared" si="474"/>
        <v>00</v>
      </c>
      <c r="K1573">
        <v>20150520</v>
      </c>
      <c r="L1573" t="str">
        <f>"014997"</f>
        <v>014997</v>
      </c>
      <c r="M1573" t="str">
        <f>"00301"</f>
        <v>00301</v>
      </c>
      <c r="N1573" t="s">
        <v>660</v>
      </c>
      <c r="O1573">
        <v>161.84</v>
      </c>
      <c r="Q1573" t="s">
        <v>33</v>
      </c>
      <c r="R1573" t="s">
        <v>34</v>
      </c>
      <c r="S1573" t="s">
        <v>35</v>
      </c>
      <c r="T1573" t="s">
        <v>35</v>
      </c>
      <c r="U1573" t="s">
        <v>34</v>
      </c>
      <c r="V1573" t="str">
        <f>""</f>
        <v/>
      </c>
      <c r="W1573">
        <v>20150520</v>
      </c>
      <c r="X1573" t="s">
        <v>393</v>
      </c>
      <c r="Y1573" t="s">
        <v>874</v>
      </c>
      <c r="Z1573" t="s">
        <v>874</v>
      </c>
      <c r="AA1573">
        <v>0</v>
      </c>
      <c r="AB1573" t="s">
        <v>142</v>
      </c>
      <c r="AC1573" t="s">
        <v>41</v>
      </c>
      <c r="AD1573" t="s">
        <v>40</v>
      </c>
      <c r="AE1573" t="str">
        <f t="shared" si="471"/>
        <v>05</v>
      </c>
      <c r="AF1573" t="s">
        <v>40</v>
      </c>
    </row>
    <row r="1574" spans="1:32" x14ac:dyDescent="0.25">
      <c r="A1574">
        <v>5</v>
      </c>
      <c r="B1574">
        <v>420</v>
      </c>
      <c r="C1574" t="str">
        <f>"11"</f>
        <v>11</v>
      </c>
      <c r="D1574">
        <v>6399</v>
      </c>
      <c r="E1574" t="str">
        <f t="shared" si="475"/>
        <v>00</v>
      </c>
      <c r="F1574" t="str">
        <f>"101"</f>
        <v>101</v>
      </c>
      <c r="G1574">
        <v>5</v>
      </c>
      <c r="H1574" t="str">
        <f>"11"</f>
        <v>11</v>
      </c>
      <c r="I1574" t="str">
        <f t="shared" si="468"/>
        <v>0</v>
      </c>
      <c r="J1574" t="str">
        <f t="shared" si="474"/>
        <v>00</v>
      </c>
      <c r="K1574">
        <v>20150520</v>
      </c>
      <c r="L1574" t="str">
        <f>"014998"</f>
        <v>014998</v>
      </c>
      <c r="M1574" t="str">
        <f>"00701"</f>
        <v>00701</v>
      </c>
      <c r="N1574" t="s">
        <v>120</v>
      </c>
      <c r="O1574">
        <v>34.090000000000003</v>
      </c>
      <c r="Q1574" t="s">
        <v>33</v>
      </c>
      <c r="R1574" t="s">
        <v>34</v>
      </c>
      <c r="S1574" t="s">
        <v>35</v>
      </c>
      <c r="T1574" t="s">
        <v>35</v>
      </c>
      <c r="U1574" t="s">
        <v>34</v>
      </c>
      <c r="V1574" t="str">
        <f>""</f>
        <v/>
      </c>
      <c r="W1574">
        <v>20150518</v>
      </c>
      <c r="X1574" t="s">
        <v>246</v>
      </c>
      <c r="Y1574" t="s">
        <v>444</v>
      </c>
      <c r="Z1574" t="s">
        <v>444</v>
      </c>
      <c r="AA1574">
        <v>0</v>
      </c>
      <c r="AB1574" t="s">
        <v>142</v>
      </c>
      <c r="AC1574" t="s">
        <v>41</v>
      </c>
      <c r="AD1574" t="s">
        <v>40</v>
      </c>
      <c r="AE1574" t="str">
        <f t="shared" si="471"/>
        <v>05</v>
      </c>
      <c r="AF1574" t="s">
        <v>40</v>
      </c>
    </row>
    <row r="1575" spans="1:32" x14ac:dyDescent="0.25">
      <c r="A1575">
        <v>5</v>
      </c>
      <c r="B1575">
        <v>240</v>
      </c>
      <c r="C1575" t="str">
        <f t="shared" ref="C1575:C1581" si="476">"35"</f>
        <v>35</v>
      </c>
      <c r="D1575">
        <v>6341</v>
      </c>
      <c r="E1575" t="str">
        <f t="shared" si="475"/>
        <v>00</v>
      </c>
      <c r="F1575" t="str">
        <f t="shared" ref="F1575:F1585" si="477">"999"</f>
        <v>999</v>
      </c>
      <c r="G1575">
        <v>5</v>
      </c>
      <c r="H1575" t="str">
        <f t="shared" ref="H1575:H1585" si="478">"99"</f>
        <v>99</v>
      </c>
      <c r="I1575" t="str">
        <f t="shared" si="468"/>
        <v>0</v>
      </c>
      <c r="J1575" t="str">
        <f t="shared" si="474"/>
        <v>00</v>
      </c>
      <c r="K1575">
        <v>20150520</v>
      </c>
      <c r="L1575" t="str">
        <f>"014999"</f>
        <v>014999</v>
      </c>
      <c r="M1575" t="str">
        <f>"00391"</f>
        <v>00391</v>
      </c>
      <c r="N1575" t="s">
        <v>857</v>
      </c>
      <c r="O1575">
        <v>264.8</v>
      </c>
      <c r="Q1575" t="s">
        <v>33</v>
      </c>
      <c r="R1575" t="s">
        <v>34</v>
      </c>
      <c r="S1575" t="s">
        <v>35</v>
      </c>
      <c r="T1575" t="s">
        <v>35</v>
      </c>
      <c r="U1575" t="s">
        <v>34</v>
      </c>
      <c r="V1575" t="str">
        <f>""</f>
        <v/>
      </c>
      <c r="W1575">
        <v>20150520</v>
      </c>
      <c r="X1575" t="s">
        <v>268</v>
      </c>
      <c r="Y1575" t="s">
        <v>573</v>
      </c>
      <c r="Z1575" t="s">
        <v>573</v>
      </c>
      <c r="AA1575">
        <v>0</v>
      </c>
      <c r="AB1575" t="s">
        <v>238</v>
      </c>
      <c r="AC1575" t="s">
        <v>143</v>
      </c>
      <c r="AD1575" t="s">
        <v>40</v>
      </c>
      <c r="AE1575" t="str">
        <f t="shared" ref="AE1575:AE1606" si="479">"05"</f>
        <v>05</v>
      </c>
      <c r="AF1575" t="s">
        <v>40</v>
      </c>
    </row>
    <row r="1576" spans="1:32" x14ac:dyDescent="0.25">
      <c r="A1576">
        <v>5</v>
      </c>
      <c r="B1576">
        <v>240</v>
      </c>
      <c r="C1576" t="str">
        <f t="shared" si="476"/>
        <v>35</v>
      </c>
      <c r="D1576">
        <v>6341</v>
      </c>
      <c r="E1576" t="str">
        <f t="shared" si="475"/>
        <v>00</v>
      </c>
      <c r="F1576" t="str">
        <f t="shared" si="477"/>
        <v>999</v>
      </c>
      <c r="G1576">
        <v>5</v>
      </c>
      <c r="H1576" t="str">
        <f t="shared" si="478"/>
        <v>99</v>
      </c>
      <c r="I1576" t="str">
        <f t="shared" si="468"/>
        <v>0</v>
      </c>
      <c r="J1576" t="str">
        <f t="shared" si="474"/>
        <v>00</v>
      </c>
      <c r="K1576">
        <v>20150520</v>
      </c>
      <c r="L1576" t="str">
        <f>"014999"</f>
        <v>014999</v>
      </c>
      <c r="M1576" t="str">
        <f>"00391"</f>
        <v>00391</v>
      </c>
      <c r="N1576" t="s">
        <v>857</v>
      </c>
      <c r="O1576">
        <v>978.29</v>
      </c>
      <c r="Q1576" t="s">
        <v>33</v>
      </c>
      <c r="R1576" t="s">
        <v>34</v>
      </c>
      <c r="S1576" t="s">
        <v>35</v>
      </c>
      <c r="T1576" t="s">
        <v>35</v>
      </c>
      <c r="U1576" t="s">
        <v>34</v>
      </c>
      <c r="V1576" t="str">
        <f>""</f>
        <v/>
      </c>
      <c r="W1576">
        <v>20150520</v>
      </c>
      <c r="X1576" t="s">
        <v>268</v>
      </c>
      <c r="Y1576" t="s">
        <v>573</v>
      </c>
      <c r="Z1576" t="s">
        <v>573</v>
      </c>
      <c r="AA1576">
        <v>0</v>
      </c>
      <c r="AB1576" t="s">
        <v>238</v>
      </c>
      <c r="AC1576" t="s">
        <v>143</v>
      </c>
      <c r="AD1576" t="s">
        <v>40</v>
      </c>
      <c r="AE1576" t="str">
        <f t="shared" si="479"/>
        <v>05</v>
      </c>
      <c r="AF1576" t="s">
        <v>40</v>
      </c>
    </row>
    <row r="1577" spans="1:32" x14ac:dyDescent="0.25">
      <c r="A1577">
        <v>5</v>
      </c>
      <c r="B1577">
        <v>240</v>
      </c>
      <c r="C1577" t="str">
        <f t="shared" si="476"/>
        <v>35</v>
      </c>
      <c r="D1577">
        <v>6341</v>
      </c>
      <c r="E1577" t="str">
        <f t="shared" si="475"/>
        <v>00</v>
      </c>
      <c r="F1577" t="str">
        <f t="shared" si="477"/>
        <v>999</v>
      </c>
      <c r="G1577">
        <v>5</v>
      </c>
      <c r="H1577" t="str">
        <f t="shared" si="478"/>
        <v>99</v>
      </c>
      <c r="I1577" t="str">
        <f t="shared" si="468"/>
        <v>0</v>
      </c>
      <c r="J1577" t="str">
        <f t="shared" si="474"/>
        <v>00</v>
      </c>
      <c r="K1577">
        <v>20150520</v>
      </c>
      <c r="L1577" t="str">
        <f>"014999"</f>
        <v>014999</v>
      </c>
      <c r="M1577" t="str">
        <f>"00391"</f>
        <v>00391</v>
      </c>
      <c r="N1577" t="s">
        <v>857</v>
      </c>
      <c r="O1577" s="1">
        <v>1284.07</v>
      </c>
      <c r="Q1577" t="s">
        <v>33</v>
      </c>
      <c r="R1577" t="s">
        <v>34</v>
      </c>
      <c r="S1577" t="s">
        <v>35</v>
      </c>
      <c r="T1577" t="s">
        <v>35</v>
      </c>
      <c r="U1577" t="s">
        <v>34</v>
      </c>
      <c r="V1577" t="str">
        <f>""</f>
        <v/>
      </c>
      <c r="W1577">
        <v>20150520</v>
      </c>
      <c r="X1577" t="s">
        <v>268</v>
      </c>
      <c r="Y1577" t="s">
        <v>573</v>
      </c>
      <c r="Z1577" t="s">
        <v>573</v>
      </c>
      <c r="AA1577">
        <v>0</v>
      </c>
      <c r="AB1577" t="s">
        <v>238</v>
      </c>
      <c r="AC1577" t="s">
        <v>143</v>
      </c>
      <c r="AD1577" t="s">
        <v>40</v>
      </c>
      <c r="AE1577" t="str">
        <f t="shared" si="479"/>
        <v>05</v>
      </c>
      <c r="AF1577" t="s">
        <v>40</v>
      </c>
    </row>
    <row r="1578" spans="1:32" x14ac:dyDescent="0.25">
      <c r="A1578">
        <v>5</v>
      </c>
      <c r="B1578">
        <v>240</v>
      </c>
      <c r="C1578" t="str">
        <f t="shared" si="476"/>
        <v>35</v>
      </c>
      <c r="D1578">
        <v>6342</v>
      </c>
      <c r="E1578" t="str">
        <f t="shared" si="475"/>
        <v>00</v>
      </c>
      <c r="F1578" t="str">
        <f t="shared" si="477"/>
        <v>999</v>
      </c>
      <c r="G1578">
        <v>5</v>
      </c>
      <c r="H1578" t="str">
        <f t="shared" si="478"/>
        <v>99</v>
      </c>
      <c r="I1578" t="str">
        <f t="shared" si="468"/>
        <v>0</v>
      </c>
      <c r="J1578" t="str">
        <f t="shared" si="474"/>
        <v>00</v>
      </c>
      <c r="K1578">
        <v>20150520</v>
      </c>
      <c r="L1578" t="str">
        <f>"014999"</f>
        <v>014999</v>
      </c>
      <c r="M1578" t="str">
        <f>"00391"</f>
        <v>00391</v>
      </c>
      <c r="N1578" t="s">
        <v>857</v>
      </c>
      <c r="O1578">
        <v>9.36</v>
      </c>
      <c r="Q1578" t="s">
        <v>33</v>
      </c>
      <c r="R1578" t="s">
        <v>34</v>
      </c>
      <c r="S1578" t="s">
        <v>35</v>
      </c>
      <c r="T1578" t="s">
        <v>35</v>
      </c>
      <c r="U1578" t="s">
        <v>34</v>
      </c>
      <c r="V1578" t="str">
        <f>""</f>
        <v/>
      </c>
      <c r="W1578">
        <v>20150520</v>
      </c>
      <c r="X1578" t="s">
        <v>269</v>
      </c>
      <c r="Y1578" t="s">
        <v>573</v>
      </c>
      <c r="Z1578" t="s">
        <v>573</v>
      </c>
      <c r="AA1578">
        <v>0</v>
      </c>
      <c r="AB1578" t="s">
        <v>238</v>
      </c>
      <c r="AC1578" t="s">
        <v>143</v>
      </c>
      <c r="AD1578" t="s">
        <v>40</v>
      </c>
      <c r="AE1578" t="str">
        <f t="shared" si="479"/>
        <v>05</v>
      </c>
      <c r="AF1578" t="s">
        <v>40</v>
      </c>
    </row>
    <row r="1579" spans="1:32" x14ac:dyDescent="0.25">
      <c r="A1579">
        <v>5</v>
      </c>
      <c r="B1579">
        <v>240</v>
      </c>
      <c r="C1579" t="str">
        <f t="shared" si="476"/>
        <v>35</v>
      </c>
      <c r="D1579">
        <v>6342</v>
      </c>
      <c r="E1579" t="str">
        <f t="shared" si="475"/>
        <v>00</v>
      </c>
      <c r="F1579" t="str">
        <f t="shared" si="477"/>
        <v>999</v>
      </c>
      <c r="G1579">
        <v>5</v>
      </c>
      <c r="H1579" t="str">
        <f t="shared" si="478"/>
        <v>99</v>
      </c>
      <c r="I1579" t="str">
        <f t="shared" si="468"/>
        <v>0</v>
      </c>
      <c r="J1579" t="str">
        <f t="shared" si="474"/>
        <v>00</v>
      </c>
      <c r="K1579">
        <v>20150520</v>
      </c>
      <c r="L1579" t="str">
        <f>"014999"</f>
        <v>014999</v>
      </c>
      <c r="M1579" t="str">
        <f>"00391"</f>
        <v>00391</v>
      </c>
      <c r="N1579" t="s">
        <v>857</v>
      </c>
      <c r="O1579">
        <v>19.399999999999999</v>
      </c>
      <c r="Q1579" t="s">
        <v>33</v>
      </c>
      <c r="R1579" t="s">
        <v>34</v>
      </c>
      <c r="S1579" t="s">
        <v>35</v>
      </c>
      <c r="T1579" t="s">
        <v>35</v>
      </c>
      <c r="U1579" t="s">
        <v>34</v>
      </c>
      <c r="V1579" t="str">
        <f>""</f>
        <v/>
      </c>
      <c r="W1579">
        <v>20150520</v>
      </c>
      <c r="X1579" t="s">
        <v>269</v>
      </c>
      <c r="Y1579" t="s">
        <v>573</v>
      </c>
      <c r="Z1579" t="s">
        <v>573</v>
      </c>
      <c r="AA1579">
        <v>0</v>
      </c>
      <c r="AB1579" t="s">
        <v>238</v>
      </c>
      <c r="AC1579" t="s">
        <v>143</v>
      </c>
      <c r="AD1579" t="s">
        <v>40</v>
      </c>
      <c r="AE1579" t="str">
        <f t="shared" si="479"/>
        <v>05</v>
      </c>
      <c r="AF1579" t="s">
        <v>40</v>
      </c>
    </row>
    <row r="1580" spans="1:32" x14ac:dyDescent="0.25">
      <c r="A1580">
        <v>5</v>
      </c>
      <c r="B1580">
        <v>240</v>
      </c>
      <c r="C1580" t="str">
        <f t="shared" si="476"/>
        <v>35</v>
      </c>
      <c r="D1580">
        <v>6299</v>
      </c>
      <c r="E1580" t="str">
        <f t="shared" si="475"/>
        <v>00</v>
      </c>
      <c r="F1580" t="str">
        <f t="shared" si="477"/>
        <v>999</v>
      </c>
      <c r="G1580">
        <v>5</v>
      </c>
      <c r="H1580" t="str">
        <f t="shared" si="478"/>
        <v>99</v>
      </c>
      <c r="I1580" t="str">
        <f t="shared" si="468"/>
        <v>0</v>
      </c>
      <c r="J1580" t="str">
        <f t="shared" si="474"/>
        <v>00</v>
      </c>
      <c r="K1580">
        <v>20150520</v>
      </c>
      <c r="L1580" t="str">
        <f>"015000"</f>
        <v>015000</v>
      </c>
      <c r="M1580" t="str">
        <f>"00577"</f>
        <v>00577</v>
      </c>
      <c r="N1580" t="s">
        <v>251</v>
      </c>
      <c r="O1580">
        <v>25.63</v>
      </c>
      <c r="Q1580" t="s">
        <v>33</v>
      </c>
      <c r="R1580" t="s">
        <v>34</v>
      </c>
      <c r="S1580" t="s">
        <v>35</v>
      </c>
      <c r="T1580" t="s">
        <v>35</v>
      </c>
      <c r="U1580" t="s">
        <v>34</v>
      </c>
      <c r="V1580" t="str">
        <f>""</f>
        <v/>
      </c>
      <c r="W1580">
        <v>20150518</v>
      </c>
      <c r="X1580" t="s">
        <v>252</v>
      </c>
      <c r="Y1580" t="s">
        <v>253</v>
      </c>
      <c r="Z1580" t="s">
        <v>253</v>
      </c>
      <c r="AA1580">
        <v>0</v>
      </c>
      <c r="AB1580" t="s">
        <v>238</v>
      </c>
      <c r="AC1580" t="s">
        <v>143</v>
      </c>
      <c r="AD1580" t="s">
        <v>40</v>
      </c>
      <c r="AE1580" t="str">
        <f t="shared" si="479"/>
        <v>05</v>
      </c>
      <c r="AF1580" t="s">
        <v>40</v>
      </c>
    </row>
    <row r="1581" spans="1:32" x14ac:dyDescent="0.25">
      <c r="A1581">
        <v>5</v>
      </c>
      <c r="B1581">
        <v>240</v>
      </c>
      <c r="C1581" t="str">
        <f t="shared" si="476"/>
        <v>35</v>
      </c>
      <c r="D1581">
        <v>6299</v>
      </c>
      <c r="E1581" t="str">
        <f t="shared" si="475"/>
        <v>00</v>
      </c>
      <c r="F1581" t="str">
        <f t="shared" si="477"/>
        <v>999</v>
      </c>
      <c r="G1581">
        <v>5</v>
      </c>
      <c r="H1581" t="str">
        <f t="shared" si="478"/>
        <v>99</v>
      </c>
      <c r="I1581" t="str">
        <f t="shared" si="468"/>
        <v>0</v>
      </c>
      <c r="J1581" t="str">
        <f t="shared" si="474"/>
        <v>00</v>
      </c>
      <c r="K1581">
        <v>20150520</v>
      </c>
      <c r="L1581" t="str">
        <f>"015000"</f>
        <v>015000</v>
      </c>
      <c r="M1581" t="str">
        <f>"00577"</f>
        <v>00577</v>
      </c>
      <c r="N1581" t="s">
        <v>251</v>
      </c>
      <c r="O1581">
        <v>25.63</v>
      </c>
      <c r="Q1581" t="s">
        <v>33</v>
      </c>
      <c r="R1581" t="s">
        <v>34</v>
      </c>
      <c r="S1581" t="s">
        <v>35</v>
      </c>
      <c r="T1581" t="s">
        <v>35</v>
      </c>
      <c r="U1581" t="s">
        <v>34</v>
      </c>
      <c r="V1581" t="str">
        <f>""</f>
        <v/>
      </c>
      <c r="W1581">
        <v>20150518</v>
      </c>
      <c r="X1581" t="s">
        <v>252</v>
      </c>
      <c r="Y1581" t="s">
        <v>253</v>
      </c>
      <c r="Z1581" t="s">
        <v>253</v>
      </c>
      <c r="AA1581">
        <v>0</v>
      </c>
      <c r="AB1581" t="s">
        <v>238</v>
      </c>
      <c r="AC1581" t="s">
        <v>143</v>
      </c>
      <c r="AD1581" t="s">
        <v>40</v>
      </c>
      <c r="AE1581" t="str">
        <f t="shared" si="479"/>
        <v>05</v>
      </c>
      <c r="AF1581" t="s">
        <v>40</v>
      </c>
    </row>
    <row r="1582" spans="1:32" x14ac:dyDescent="0.25">
      <c r="A1582">
        <v>5</v>
      </c>
      <c r="B1582">
        <v>420</v>
      </c>
      <c r="C1582" t="str">
        <f>"51"</f>
        <v>51</v>
      </c>
      <c r="D1582">
        <v>6299</v>
      </c>
      <c r="E1582" t="str">
        <f t="shared" si="475"/>
        <v>00</v>
      </c>
      <c r="F1582" t="str">
        <f t="shared" si="477"/>
        <v>999</v>
      </c>
      <c r="G1582">
        <v>5</v>
      </c>
      <c r="H1582" t="str">
        <f t="shared" si="478"/>
        <v>99</v>
      </c>
      <c r="I1582" t="str">
        <f t="shared" si="468"/>
        <v>0</v>
      </c>
      <c r="J1582" t="str">
        <f t="shared" si="474"/>
        <v>00</v>
      </c>
      <c r="K1582">
        <v>20150520</v>
      </c>
      <c r="L1582" t="str">
        <f>"015000"</f>
        <v>015000</v>
      </c>
      <c r="M1582" t="str">
        <f>"00577"</f>
        <v>00577</v>
      </c>
      <c r="N1582" t="s">
        <v>251</v>
      </c>
      <c r="O1582">
        <v>63.72</v>
      </c>
      <c r="Q1582" t="s">
        <v>33</v>
      </c>
      <c r="R1582" t="s">
        <v>34</v>
      </c>
      <c r="S1582" t="s">
        <v>35</v>
      </c>
      <c r="T1582" t="s">
        <v>35</v>
      </c>
      <c r="U1582" t="s">
        <v>34</v>
      </c>
      <c r="V1582" t="str">
        <f>""</f>
        <v/>
      </c>
      <c r="W1582">
        <v>20150518</v>
      </c>
      <c r="X1582" t="s">
        <v>203</v>
      </c>
      <c r="Y1582" t="s">
        <v>253</v>
      </c>
      <c r="Z1582" t="s">
        <v>253</v>
      </c>
      <c r="AA1582">
        <v>0</v>
      </c>
      <c r="AB1582" t="s">
        <v>142</v>
      </c>
      <c r="AC1582" t="s">
        <v>143</v>
      </c>
      <c r="AD1582" t="s">
        <v>40</v>
      </c>
      <c r="AE1582" t="str">
        <f t="shared" si="479"/>
        <v>05</v>
      </c>
      <c r="AF1582" t="s">
        <v>40</v>
      </c>
    </row>
    <row r="1583" spans="1:32" x14ac:dyDescent="0.25">
      <c r="A1583">
        <v>5</v>
      </c>
      <c r="B1583">
        <v>420</v>
      </c>
      <c r="C1583" t="str">
        <f>"51"</f>
        <v>51</v>
      </c>
      <c r="D1583">
        <v>6299</v>
      </c>
      <c r="E1583" t="str">
        <f t="shared" si="475"/>
        <v>00</v>
      </c>
      <c r="F1583" t="str">
        <f t="shared" si="477"/>
        <v>999</v>
      </c>
      <c r="G1583">
        <v>5</v>
      </c>
      <c r="H1583" t="str">
        <f t="shared" si="478"/>
        <v>99</v>
      </c>
      <c r="I1583" t="str">
        <f t="shared" si="468"/>
        <v>0</v>
      </c>
      <c r="J1583" t="str">
        <f t="shared" si="474"/>
        <v>00</v>
      </c>
      <c r="K1583">
        <v>20150520</v>
      </c>
      <c r="L1583" t="str">
        <f>"015000"</f>
        <v>015000</v>
      </c>
      <c r="M1583" t="str">
        <f>"00577"</f>
        <v>00577</v>
      </c>
      <c r="N1583" t="s">
        <v>251</v>
      </c>
      <c r="O1583">
        <v>63.72</v>
      </c>
      <c r="Q1583" t="s">
        <v>33</v>
      </c>
      <c r="R1583" t="s">
        <v>34</v>
      </c>
      <c r="S1583" t="s">
        <v>35</v>
      </c>
      <c r="T1583" t="s">
        <v>35</v>
      </c>
      <c r="U1583" t="s">
        <v>34</v>
      </c>
      <c r="V1583" t="str">
        <f>""</f>
        <v/>
      </c>
      <c r="W1583">
        <v>20150518</v>
      </c>
      <c r="X1583" t="s">
        <v>203</v>
      </c>
      <c r="Y1583" t="s">
        <v>253</v>
      </c>
      <c r="Z1583" t="s">
        <v>253</v>
      </c>
      <c r="AA1583">
        <v>0</v>
      </c>
      <c r="AB1583" t="s">
        <v>142</v>
      </c>
      <c r="AC1583" t="s">
        <v>143</v>
      </c>
      <c r="AD1583" t="s">
        <v>40</v>
      </c>
      <c r="AE1583" t="str">
        <f t="shared" si="479"/>
        <v>05</v>
      </c>
      <c r="AF1583" t="s">
        <v>40</v>
      </c>
    </row>
    <row r="1584" spans="1:32" x14ac:dyDescent="0.25">
      <c r="A1584">
        <v>5</v>
      </c>
      <c r="B1584">
        <v>420</v>
      </c>
      <c r="C1584" t="str">
        <f>"34"</f>
        <v>34</v>
      </c>
      <c r="D1584">
        <v>6513</v>
      </c>
      <c r="E1584" t="str">
        <f t="shared" si="475"/>
        <v>00</v>
      </c>
      <c r="F1584" t="str">
        <f t="shared" si="477"/>
        <v>999</v>
      </c>
      <c r="G1584">
        <v>5</v>
      </c>
      <c r="H1584" t="str">
        <f t="shared" si="478"/>
        <v>99</v>
      </c>
      <c r="I1584" t="str">
        <f t="shared" si="468"/>
        <v>0</v>
      </c>
      <c r="J1584" t="str">
        <f t="shared" si="474"/>
        <v>00</v>
      </c>
      <c r="K1584">
        <v>20150520</v>
      </c>
      <c r="L1584" t="str">
        <f>"015001"</f>
        <v>015001</v>
      </c>
      <c r="M1584" t="str">
        <f>"00520"</f>
        <v>00520</v>
      </c>
      <c r="N1584" t="s">
        <v>329</v>
      </c>
      <c r="O1584" s="1">
        <v>1373.49</v>
      </c>
      <c r="Q1584" t="s">
        <v>33</v>
      </c>
      <c r="R1584" t="s">
        <v>34</v>
      </c>
      <c r="S1584" t="s">
        <v>35</v>
      </c>
      <c r="T1584" t="s">
        <v>35</v>
      </c>
      <c r="U1584" t="s">
        <v>34</v>
      </c>
      <c r="V1584" t="str">
        <f>""</f>
        <v/>
      </c>
      <c r="W1584">
        <v>20150520</v>
      </c>
      <c r="X1584" t="s">
        <v>330</v>
      </c>
      <c r="Y1584" t="s">
        <v>639</v>
      </c>
      <c r="Z1584" t="s">
        <v>639</v>
      </c>
      <c r="AA1584">
        <v>0</v>
      </c>
      <c r="AB1584" t="s">
        <v>142</v>
      </c>
      <c r="AC1584" t="s">
        <v>143</v>
      </c>
      <c r="AD1584" t="s">
        <v>40</v>
      </c>
      <c r="AE1584" t="str">
        <f t="shared" si="479"/>
        <v>05</v>
      </c>
      <c r="AF1584" t="s">
        <v>40</v>
      </c>
    </row>
    <row r="1585" spans="1:32" x14ac:dyDescent="0.25">
      <c r="A1585">
        <v>5</v>
      </c>
      <c r="B1585">
        <v>420</v>
      </c>
      <c r="C1585" t="str">
        <f>"34"</f>
        <v>34</v>
      </c>
      <c r="D1585">
        <v>6523</v>
      </c>
      <c r="E1585" t="str">
        <f t="shared" si="475"/>
        <v>00</v>
      </c>
      <c r="F1585" t="str">
        <f t="shared" si="477"/>
        <v>999</v>
      </c>
      <c r="G1585">
        <v>5</v>
      </c>
      <c r="H1585" t="str">
        <f t="shared" si="478"/>
        <v>99</v>
      </c>
      <c r="I1585" t="str">
        <f t="shared" si="468"/>
        <v>0</v>
      </c>
      <c r="J1585" t="str">
        <f t="shared" si="474"/>
        <v>00</v>
      </c>
      <c r="K1585">
        <v>20150520</v>
      </c>
      <c r="L1585" t="str">
        <f>"015001"</f>
        <v>015001</v>
      </c>
      <c r="M1585" t="str">
        <f>"00520"</f>
        <v>00520</v>
      </c>
      <c r="N1585" t="s">
        <v>329</v>
      </c>
      <c r="O1585">
        <v>341.93</v>
      </c>
      <c r="Q1585" t="s">
        <v>33</v>
      </c>
      <c r="R1585" t="s">
        <v>34</v>
      </c>
      <c r="S1585" t="s">
        <v>35</v>
      </c>
      <c r="T1585" t="s">
        <v>35</v>
      </c>
      <c r="U1585" t="s">
        <v>34</v>
      </c>
      <c r="V1585" t="str">
        <f>""</f>
        <v/>
      </c>
      <c r="W1585">
        <v>20150520</v>
      </c>
      <c r="X1585" t="s">
        <v>640</v>
      </c>
      <c r="Y1585" t="s">
        <v>639</v>
      </c>
      <c r="Z1585" t="s">
        <v>639</v>
      </c>
      <c r="AA1585">
        <v>0</v>
      </c>
      <c r="AB1585" t="s">
        <v>142</v>
      </c>
      <c r="AC1585" t="s">
        <v>143</v>
      </c>
      <c r="AD1585" t="s">
        <v>40</v>
      </c>
      <c r="AE1585" t="str">
        <f t="shared" si="479"/>
        <v>05</v>
      </c>
      <c r="AF1585" t="s">
        <v>40</v>
      </c>
    </row>
    <row r="1586" spans="1:32" x14ac:dyDescent="0.25">
      <c r="A1586">
        <v>5</v>
      </c>
      <c r="B1586">
        <v>420</v>
      </c>
      <c r="C1586" t="str">
        <f t="shared" ref="C1586:C1595" si="480">"00"</f>
        <v>00</v>
      </c>
      <c r="D1586">
        <v>2153</v>
      </c>
      <c r="E1586" t="str">
        <f t="shared" si="475"/>
        <v>00</v>
      </c>
      <c r="F1586" t="str">
        <f>"008"</f>
        <v>008</v>
      </c>
      <c r="G1586">
        <v>5</v>
      </c>
      <c r="H1586" t="str">
        <f t="shared" ref="H1586:H1595" si="481">"00"</f>
        <v>00</v>
      </c>
      <c r="I1586" t="str">
        <f t="shared" si="468"/>
        <v>0</v>
      </c>
      <c r="J1586" t="str">
        <f t="shared" si="474"/>
        <v>00</v>
      </c>
      <c r="K1586">
        <v>20150526</v>
      </c>
      <c r="L1586" t="str">
        <f>"015002"</f>
        <v>015002</v>
      </c>
      <c r="M1586" t="str">
        <f>"00012"</f>
        <v>00012</v>
      </c>
      <c r="N1586" t="s">
        <v>279</v>
      </c>
      <c r="O1586">
        <v>445.94</v>
      </c>
      <c r="Q1586" t="s">
        <v>33</v>
      </c>
      <c r="R1586" t="s">
        <v>34</v>
      </c>
      <c r="S1586" t="s">
        <v>35</v>
      </c>
      <c r="T1586" t="s">
        <v>35</v>
      </c>
      <c r="U1586" t="s">
        <v>34</v>
      </c>
      <c r="V1586" t="str">
        <f>""</f>
        <v/>
      </c>
      <c r="W1586">
        <v>20150526</v>
      </c>
      <c r="X1586" t="s">
        <v>280</v>
      </c>
      <c r="Y1586" t="s">
        <v>875</v>
      </c>
      <c r="Z1586" t="s">
        <v>875</v>
      </c>
      <c r="AA1586">
        <v>0</v>
      </c>
      <c r="AB1586" t="s">
        <v>142</v>
      </c>
      <c r="AC1586" t="s">
        <v>282</v>
      </c>
      <c r="AD1586" t="s">
        <v>144</v>
      </c>
      <c r="AE1586" t="str">
        <f t="shared" si="479"/>
        <v>05</v>
      </c>
      <c r="AF1586" t="s">
        <v>40</v>
      </c>
    </row>
    <row r="1587" spans="1:32" x14ac:dyDescent="0.25">
      <c r="A1587">
        <v>5</v>
      </c>
      <c r="B1587">
        <v>420</v>
      </c>
      <c r="C1587" t="str">
        <f t="shared" si="480"/>
        <v>00</v>
      </c>
      <c r="D1587">
        <v>2159</v>
      </c>
      <c r="E1587" t="str">
        <f t="shared" si="475"/>
        <v>00</v>
      </c>
      <c r="F1587" t="str">
        <f>"009"</f>
        <v>009</v>
      </c>
      <c r="G1587">
        <v>5</v>
      </c>
      <c r="H1587" t="str">
        <f t="shared" si="481"/>
        <v>00</v>
      </c>
      <c r="I1587" t="str">
        <f t="shared" si="468"/>
        <v>0</v>
      </c>
      <c r="J1587" t="str">
        <f t="shared" ref="J1587:J1596" si="482">"00"</f>
        <v>00</v>
      </c>
      <c r="K1587">
        <v>20150526</v>
      </c>
      <c r="L1587" t="str">
        <f>"015002"</f>
        <v>015002</v>
      </c>
      <c r="M1587" t="str">
        <f>"00012"</f>
        <v>00012</v>
      </c>
      <c r="N1587" t="s">
        <v>279</v>
      </c>
      <c r="O1587">
        <v>380.11</v>
      </c>
      <c r="Q1587" t="s">
        <v>33</v>
      </c>
      <c r="R1587" t="s">
        <v>34</v>
      </c>
      <c r="S1587" t="s">
        <v>35</v>
      </c>
      <c r="T1587" t="s">
        <v>35</v>
      </c>
      <c r="U1587" t="s">
        <v>34</v>
      </c>
      <c r="V1587" t="str">
        <f>""</f>
        <v/>
      </c>
      <c r="W1587">
        <v>20150526</v>
      </c>
      <c r="X1587" t="s">
        <v>283</v>
      </c>
      <c r="Y1587" t="s">
        <v>876</v>
      </c>
      <c r="Z1587" t="s">
        <v>876</v>
      </c>
      <c r="AA1587">
        <v>0</v>
      </c>
      <c r="AB1587" t="s">
        <v>142</v>
      </c>
      <c r="AC1587" t="s">
        <v>285</v>
      </c>
      <c r="AD1587" t="s">
        <v>144</v>
      </c>
      <c r="AE1587" t="str">
        <f t="shared" si="479"/>
        <v>05</v>
      </c>
      <c r="AF1587" t="s">
        <v>40</v>
      </c>
    </row>
    <row r="1588" spans="1:32" x14ac:dyDescent="0.25">
      <c r="A1588">
        <v>5</v>
      </c>
      <c r="B1588">
        <v>420</v>
      </c>
      <c r="C1588" t="str">
        <f t="shared" si="480"/>
        <v>00</v>
      </c>
      <c r="D1588">
        <v>2153</v>
      </c>
      <c r="E1588" t="str">
        <f t="shared" si="475"/>
        <v>00</v>
      </c>
      <c r="F1588" t="str">
        <f>"005"</f>
        <v>005</v>
      </c>
      <c r="G1588">
        <v>5</v>
      </c>
      <c r="H1588" t="str">
        <f t="shared" si="481"/>
        <v>00</v>
      </c>
      <c r="I1588" t="str">
        <f t="shared" si="468"/>
        <v>0</v>
      </c>
      <c r="J1588" t="str">
        <f t="shared" si="482"/>
        <v>00</v>
      </c>
      <c r="K1588">
        <v>20150526</v>
      </c>
      <c r="L1588" t="str">
        <f>"015003"</f>
        <v>015003</v>
      </c>
      <c r="M1588" t="str">
        <f>"00226"</f>
        <v>00226</v>
      </c>
      <c r="N1588" t="s">
        <v>877</v>
      </c>
      <c r="O1588">
        <v>757.25</v>
      </c>
      <c r="Q1588" t="s">
        <v>33</v>
      </c>
      <c r="R1588" t="s">
        <v>34</v>
      </c>
      <c r="S1588" t="s">
        <v>35</v>
      </c>
      <c r="T1588" t="s">
        <v>35</v>
      </c>
      <c r="U1588" t="s">
        <v>34</v>
      </c>
      <c r="V1588" t="str">
        <f>""</f>
        <v/>
      </c>
      <c r="W1588">
        <v>20150526</v>
      </c>
      <c r="X1588" t="s">
        <v>287</v>
      </c>
      <c r="Y1588" t="s">
        <v>875</v>
      </c>
      <c r="Z1588" t="s">
        <v>875</v>
      </c>
      <c r="AA1588">
        <v>0</v>
      </c>
      <c r="AB1588" t="s">
        <v>142</v>
      </c>
      <c r="AC1588" t="s">
        <v>288</v>
      </c>
      <c r="AD1588" t="s">
        <v>144</v>
      </c>
      <c r="AE1588" t="str">
        <f t="shared" si="479"/>
        <v>05</v>
      </c>
      <c r="AF1588" t="s">
        <v>40</v>
      </c>
    </row>
    <row r="1589" spans="1:32" x14ac:dyDescent="0.25">
      <c r="A1589">
        <v>5</v>
      </c>
      <c r="B1589">
        <v>420</v>
      </c>
      <c r="C1589" t="str">
        <f t="shared" si="480"/>
        <v>00</v>
      </c>
      <c r="D1589">
        <v>2153</v>
      </c>
      <c r="E1589" t="str">
        <f t="shared" si="475"/>
        <v>00</v>
      </c>
      <c r="F1589" t="str">
        <f>"006"</f>
        <v>006</v>
      </c>
      <c r="G1589">
        <v>5</v>
      </c>
      <c r="H1589" t="str">
        <f t="shared" si="481"/>
        <v>00</v>
      </c>
      <c r="I1589" t="str">
        <f t="shared" si="468"/>
        <v>0</v>
      </c>
      <c r="J1589" t="str">
        <f t="shared" si="482"/>
        <v>00</v>
      </c>
      <c r="K1589">
        <v>20150526</v>
      </c>
      <c r="L1589" t="str">
        <f>"015003"</f>
        <v>015003</v>
      </c>
      <c r="M1589" t="str">
        <f>"00226"</f>
        <v>00226</v>
      </c>
      <c r="N1589" t="s">
        <v>877</v>
      </c>
      <c r="O1589">
        <v>162.06</v>
      </c>
      <c r="Q1589" t="s">
        <v>33</v>
      </c>
      <c r="R1589" t="s">
        <v>34</v>
      </c>
      <c r="S1589" t="s">
        <v>35</v>
      </c>
      <c r="T1589" t="s">
        <v>35</v>
      </c>
      <c r="U1589" t="s">
        <v>34</v>
      </c>
      <c r="V1589" t="str">
        <f>""</f>
        <v/>
      </c>
      <c r="W1589">
        <v>20150526</v>
      </c>
      <c r="X1589" t="s">
        <v>289</v>
      </c>
      <c r="Y1589" t="s">
        <v>875</v>
      </c>
      <c r="Z1589" t="s">
        <v>875</v>
      </c>
      <c r="AA1589">
        <v>0</v>
      </c>
      <c r="AB1589" t="s">
        <v>142</v>
      </c>
      <c r="AC1589" t="s">
        <v>290</v>
      </c>
      <c r="AD1589" t="s">
        <v>144</v>
      </c>
      <c r="AE1589" t="str">
        <f t="shared" si="479"/>
        <v>05</v>
      </c>
      <c r="AF1589" t="s">
        <v>40</v>
      </c>
    </row>
    <row r="1590" spans="1:32" x14ac:dyDescent="0.25">
      <c r="A1590">
        <v>5</v>
      </c>
      <c r="B1590">
        <v>420</v>
      </c>
      <c r="C1590" t="str">
        <f t="shared" si="480"/>
        <v>00</v>
      </c>
      <c r="D1590">
        <v>2159</v>
      </c>
      <c r="E1590" t="str">
        <f t="shared" si="475"/>
        <v>00</v>
      </c>
      <c r="F1590" t="str">
        <f>"021"</f>
        <v>021</v>
      </c>
      <c r="G1590">
        <v>5</v>
      </c>
      <c r="H1590" t="str">
        <f t="shared" si="481"/>
        <v>00</v>
      </c>
      <c r="I1590" t="str">
        <f t="shared" si="468"/>
        <v>0</v>
      </c>
      <c r="J1590" t="str">
        <f t="shared" si="482"/>
        <v>00</v>
      </c>
      <c r="K1590">
        <v>20150526</v>
      </c>
      <c r="L1590" t="str">
        <f>"015004"</f>
        <v>015004</v>
      </c>
      <c r="M1590" t="str">
        <f>"00291"</f>
        <v>00291</v>
      </c>
      <c r="N1590" t="s">
        <v>658</v>
      </c>
      <c r="O1590" s="1">
        <v>1250</v>
      </c>
      <c r="Q1590" t="s">
        <v>33</v>
      </c>
      <c r="R1590" t="s">
        <v>34</v>
      </c>
      <c r="S1590" t="s">
        <v>35</v>
      </c>
      <c r="T1590" t="s">
        <v>35</v>
      </c>
      <c r="U1590" t="s">
        <v>34</v>
      </c>
      <c r="V1590" t="str">
        <f>""</f>
        <v/>
      </c>
      <c r="W1590">
        <v>20150526</v>
      </c>
      <c r="X1590" t="s">
        <v>292</v>
      </c>
      <c r="Y1590" t="s">
        <v>878</v>
      </c>
      <c r="Z1590" t="s">
        <v>878</v>
      </c>
      <c r="AA1590">
        <v>0</v>
      </c>
      <c r="AB1590" t="s">
        <v>142</v>
      </c>
      <c r="AC1590" t="s">
        <v>294</v>
      </c>
      <c r="AD1590" t="s">
        <v>144</v>
      </c>
      <c r="AE1590" t="str">
        <f t="shared" si="479"/>
        <v>05</v>
      </c>
      <c r="AF1590" t="s">
        <v>40</v>
      </c>
    </row>
    <row r="1591" spans="1:32" x14ac:dyDescent="0.25">
      <c r="A1591">
        <v>5</v>
      </c>
      <c r="B1591">
        <v>420</v>
      </c>
      <c r="C1591" t="str">
        <f t="shared" si="480"/>
        <v>00</v>
      </c>
      <c r="D1591">
        <v>2159</v>
      </c>
      <c r="E1591" t="str">
        <f t="shared" si="475"/>
        <v>00</v>
      </c>
      <c r="F1591" t="str">
        <f>"150"</f>
        <v>150</v>
      </c>
      <c r="G1591">
        <v>5</v>
      </c>
      <c r="H1591" t="str">
        <f t="shared" si="481"/>
        <v>00</v>
      </c>
      <c r="I1591" t="str">
        <f t="shared" si="468"/>
        <v>0</v>
      </c>
      <c r="J1591" t="str">
        <f t="shared" si="482"/>
        <v>00</v>
      </c>
      <c r="K1591">
        <v>20150526</v>
      </c>
      <c r="L1591" t="str">
        <f>"015005"</f>
        <v>015005</v>
      </c>
      <c r="M1591" t="str">
        <f>"00355"</f>
        <v>00355</v>
      </c>
      <c r="N1591" t="s">
        <v>295</v>
      </c>
      <c r="O1591">
        <v>417.16</v>
      </c>
      <c r="Q1591" t="s">
        <v>33</v>
      </c>
      <c r="R1591" t="s">
        <v>34</v>
      </c>
      <c r="S1591" t="s">
        <v>35</v>
      </c>
      <c r="T1591" t="s">
        <v>35</v>
      </c>
      <c r="U1591" t="s">
        <v>34</v>
      </c>
      <c r="V1591" t="str">
        <f>""</f>
        <v/>
      </c>
      <c r="W1591">
        <v>20150526</v>
      </c>
      <c r="X1591" t="s">
        <v>296</v>
      </c>
      <c r="Y1591" t="s">
        <v>878</v>
      </c>
      <c r="Z1591" t="s">
        <v>878</v>
      </c>
      <c r="AA1591">
        <v>0</v>
      </c>
      <c r="AB1591" t="s">
        <v>142</v>
      </c>
      <c r="AC1591" t="s">
        <v>297</v>
      </c>
      <c r="AD1591" t="s">
        <v>144</v>
      </c>
      <c r="AE1591" t="str">
        <f t="shared" si="479"/>
        <v>05</v>
      </c>
      <c r="AF1591" t="s">
        <v>40</v>
      </c>
    </row>
    <row r="1592" spans="1:32" x14ac:dyDescent="0.25">
      <c r="A1592">
        <v>5</v>
      </c>
      <c r="B1592">
        <v>420</v>
      </c>
      <c r="C1592" t="str">
        <f t="shared" si="480"/>
        <v>00</v>
      </c>
      <c r="D1592">
        <v>2159</v>
      </c>
      <c r="E1592" t="str">
        <f t="shared" si="475"/>
        <v>00</v>
      </c>
      <c r="F1592" t="str">
        <f>"154"</f>
        <v>154</v>
      </c>
      <c r="G1592">
        <v>5</v>
      </c>
      <c r="H1592" t="str">
        <f t="shared" si="481"/>
        <v>00</v>
      </c>
      <c r="I1592" t="str">
        <f t="shared" si="468"/>
        <v>0</v>
      </c>
      <c r="J1592" t="str">
        <f t="shared" si="482"/>
        <v>00</v>
      </c>
      <c r="K1592">
        <v>20150526</v>
      </c>
      <c r="L1592" t="str">
        <f>"015006"</f>
        <v>015006</v>
      </c>
      <c r="M1592" t="str">
        <f>"00684"</f>
        <v>00684</v>
      </c>
      <c r="N1592" t="s">
        <v>466</v>
      </c>
      <c r="O1592">
        <v>680</v>
      </c>
      <c r="Q1592" t="s">
        <v>33</v>
      </c>
      <c r="R1592" t="s">
        <v>34</v>
      </c>
      <c r="S1592" t="s">
        <v>35</v>
      </c>
      <c r="T1592" t="s">
        <v>35</v>
      </c>
      <c r="U1592" t="s">
        <v>34</v>
      </c>
      <c r="V1592" t="str">
        <f>""</f>
        <v/>
      </c>
      <c r="W1592">
        <v>20150526</v>
      </c>
      <c r="X1592" t="s">
        <v>467</v>
      </c>
      <c r="Y1592" t="s">
        <v>878</v>
      </c>
      <c r="Z1592" t="s">
        <v>878</v>
      </c>
      <c r="AA1592">
        <v>0</v>
      </c>
      <c r="AB1592" t="s">
        <v>142</v>
      </c>
      <c r="AC1592" t="s">
        <v>468</v>
      </c>
      <c r="AD1592" t="s">
        <v>144</v>
      </c>
      <c r="AE1592" t="str">
        <f t="shared" si="479"/>
        <v>05</v>
      </c>
      <c r="AF1592" t="s">
        <v>40</v>
      </c>
    </row>
    <row r="1593" spans="1:32" x14ac:dyDescent="0.25">
      <c r="A1593">
        <v>5</v>
      </c>
      <c r="B1593">
        <v>420</v>
      </c>
      <c r="C1593" t="str">
        <f t="shared" si="480"/>
        <v>00</v>
      </c>
      <c r="D1593">
        <v>2159</v>
      </c>
      <c r="E1593" t="str">
        <f t="shared" si="475"/>
        <v>00</v>
      </c>
      <c r="F1593" t="str">
        <f>"158"</f>
        <v>158</v>
      </c>
      <c r="G1593">
        <v>5</v>
      </c>
      <c r="H1593" t="str">
        <f t="shared" si="481"/>
        <v>00</v>
      </c>
      <c r="I1593" t="str">
        <f t="shared" si="468"/>
        <v>0</v>
      </c>
      <c r="J1593" t="str">
        <f t="shared" si="482"/>
        <v>00</v>
      </c>
      <c r="K1593">
        <v>20150526</v>
      </c>
      <c r="L1593" t="str">
        <f>"015007"</f>
        <v>015007</v>
      </c>
      <c r="M1593" t="str">
        <f>"00773"</f>
        <v>00773</v>
      </c>
      <c r="N1593" t="s">
        <v>298</v>
      </c>
      <c r="O1593">
        <v>25</v>
      </c>
      <c r="Q1593" t="s">
        <v>33</v>
      </c>
      <c r="R1593" t="s">
        <v>34</v>
      </c>
      <c r="S1593" t="s">
        <v>35</v>
      </c>
      <c r="T1593" t="s">
        <v>35</v>
      </c>
      <c r="U1593" t="s">
        <v>34</v>
      </c>
      <c r="V1593" t="str">
        <f>""</f>
        <v/>
      </c>
      <c r="W1593">
        <v>20150526</v>
      </c>
      <c r="X1593" t="s">
        <v>299</v>
      </c>
      <c r="Y1593" t="s">
        <v>879</v>
      </c>
      <c r="Z1593" t="s">
        <v>879</v>
      </c>
      <c r="AA1593">
        <v>0</v>
      </c>
      <c r="AB1593" t="s">
        <v>142</v>
      </c>
      <c r="AC1593" t="s">
        <v>298</v>
      </c>
      <c r="AD1593" t="s">
        <v>144</v>
      </c>
      <c r="AE1593" t="str">
        <f t="shared" si="479"/>
        <v>05</v>
      </c>
      <c r="AF1593" t="s">
        <v>40</v>
      </c>
    </row>
    <row r="1594" spans="1:32" x14ac:dyDescent="0.25">
      <c r="A1594">
        <v>5</v>
      </c>
      <c r="B1594">
        <v>420</v>
      </c>
      <c r="C1594" t="str">
        <f t="shared" si="480"/>
        <v>00</v>
      </c>
      <c r="D1594">
        <v>2159</v>
      </c>
      <c r="E1594" t="str">
        <f t="shared" si="475"/>
        <v>00</v>
      </c>
      <c r="F1594" t="str">
        <f>"164"</f>
        <v>164</v>
      </c>
      <c r="G1594">
        <v>5</v>
      </c>
      <c r="H1594" t="str">
        <f t="shared" si="481"/>
        <v>00</v>
      </c>
      <c r="I1594" t="str">
        <f t="shared" si="468"/>
        <v>0</v>
      </c>
      <c r="J1594" t="str">
        <f t="shared" si="482"/>
        <v>00</v>
      </c>
      <c r="K1594">
        <v>20150526</v>
      </c>
      <c r="L1594" t="str">
        <f>"015008"</f>
        <v>015008</v>
      </c>
      <c r="M1594" t="str">
        <f>"00787"</f>
        <v>00787</v>
      </c>
      <c r="N1594" t="s">
        <v>469</v>
      </c>
      <c r="O1594">
        <v>225</v>
      </c>
      <c r="Q1594" t="s">
        <v>33</v>
      </c>
      <c r="R1594" t="s">
        <v>34</v>
      </c>
      <c r="S1594" t="s">
        <v>35</v>
      </c>
      <c r="T1594" t="s">
        <v>35</v>
      </c>
      <c r="U1594" t="s">
        <v>34</v>
      </c>
      <c r="V1594" t="str">
        <f>""</f>
        <v/>
      </c>
      <c r="W1594">
        <v>20150526</v>
      </c>
      <c r="X1594" t="s">
        <v>470</v>
      </c>
      <c r="Y1594" t="s">
        <v>879</v>
      </c>
      <c r="Z1594" t="s">
        <v>879</v>
      </c>
      <c r="AA1594">
        <v>0</v>
      </c>
      <c r="AB1594" t="s">
        <v>142</v>
      </c>
      <c r="AC1594" t="s">
        <v>472</v>
      </c>
      <c r="AD1594" t="s">
        <v>144</v>
      </c>
      <c r="AE1594" t="str">
        <f t="shared" si="479"/>
        <v>05</v>
      </c>
      <c r="AF1594" t="s">
        <v>40</v>
      </c>
    </row>
    <row r="1595" spans="1:32" x14ac:dyDescent="0.25">
      <c r="A1595">
        <v>5</v>
      </c>
      <c r="B1595">
        <v>420</v>
      </c>
      <c r="C1595" t="str">
        <f t="shared" si="480"/>
        <v>00</v>
      </c>
      <c r="D1595">
        <v>2159</v>
      </c>
      <c r="E1595" t="str">
        <f t="shared" si="475"/>
        <v>00</v>
      </c>
      <c r="F1595" t="str">
        <f>"165"</f>
        <v>165</v>
      </c>
      <c r="G1595">
        <v>5</v>
      </c>
      <c r="H1595" t="str">
        <f t="shared" si="481"/>
        <v>00</v>
      </c>
      <c r="I1595" t="str">
        <f t="shared" si="468"/>
        <v>0</v>
      </c>
      <c r="J1595" t="str">
        <f t="shared" si="482"/>
        <v>00</v>
      </c>
      <c r="K1595">
        <v>20150526</v>
      </c>
      <c r="L1595" t="str">
        <f>"015009"</f>
        <v>015009</v>
      </c>
      <c r="M1595" t="str">
        <f>"00794"</f>
        <v>00794</v>
      </c>
      <c r="N1595" t="s">
        <v>613</v>
      </c>
      <c r="O1595">
        <v>30</v>
      </c>
      <c r="Q1595" t="s">
        <v>33</v>
      </c>
      <c r="R1595" t="s">
        <v>34</v>
      </c>
      <c r="S1595" t="s">
        <v>35</v>
      </c>
      <c r="T1595" t="s">
        <v>35</v>
      </c>
      <c r="U1595" t="s">
        <v>34</v>
      </c>
      <c r="V1595" t="str">
        <f>""</f>
        <v/>
      </c>
      <c r="W1595">
        <v>20150526</v>
      </c>
      <c r="X1595" t="s">
        <v>614</v>
      </c>
      <c r="Y1595" t="s">
        <v>878</v>
      </c>
      <c r="Z1595" t="s">
        <v>878</v>
      </c>
      <c r="AA1595">
        <v>0</v>
      </c>
      <c r="AB1595" t="s">
        <v>142</v>
      </c>
      <c r="AC1595" t="s">
        <v>613</v>
      </c>
      <c r="AD1595" t="s">
        <v>144</v>
      </c>
      <c r="AE1595" t="str">
        <f t="shared" si="479"/>
        <v>05</v>
      </c>
      <c r="AF1595" t="s">
        <v>40</v>
      </c>
    </row>
    <row r="1596" spans="1:32" x14ac:dyDescent="0.25">
      <c r="A1596">
        <v>5</v>
      </c>
      <c r="B1596">
        <v>211</v>
      </c>
      <c r="C1596" t="str">
        <f t="shared" ref="C1596:C1610" si="483">"11"</f>
        <v>11</v>
      </c>
      <c r="D1596">
        <v>6399</v>
      </c>
      <c r="E1596" t="str">
        <f t="shared" si="475"/>
        <v>00</v>
      </c>
      <c r="F1596" t="str">
        <f>"001"</f>
        <v>001</v>
      </c>
      <c r="G1596">
        <v>5</v>
      </c>
      <c r="H1596" t="str">
        <f t="shared" ref="H1596:H1602" si="484">"30"</f>
        <v>30</v>
      </c>
      <c r="I1596" t="str">
        <f t="shared" si="468"/>
        <v>0</v>
      </c>
      <c r="J1596" t="str">
        <f t="shared" si="482"/>
        <v>00</v>
      </c>
      <c r="K1596">
        <v>20150527</v>
      </c>
      <c r="L1596" t="str">
        <f t="shared" ref="L1596:L1616" si="485">"015010"</f>
        <v>015010</v>
      </c>
      <c r="M1596" t="str">
        <f t="shared" ref="M1596:M1616" si="486">"00015"</f>
        <v>00015</v>
      </c>
      <c r="N1596" t="s">
        <v>44</v>
      </c>
      <c r="O1596">
        <v>196.26</v>
      </c>
      <c r="Q1596" t="s">
        <v>33</v>
      </c>
      <c r="R1596" t="s">
        <v>34</v>
      </c>
      <c r="S1596" t="s">
        <v>35</v>
      </c>
      <c r="T1596" t="s">
        <v>35</v>
      </c>
      <c r="U1596" t="s">
        <v>34</v>
      </c>
      <c r="V1596" t="str">
        <f>""</f>
        <v/>
      </c>
      <c r="W1596">
        <v>20150527</v>
      </c>
      <c r="X1596" t="s">
        <v>623</v>
      </c>
      <c r="Y1596" t="s">
        <v>59</v>
      </c>
      <c r="Z1596" t="s">
        <v>59</v>
      </c>
      <c r="AA1596">
        <v>0</v>
      </c>
      <c r="AB1596" t="s">
        <v>174</v>
      </c>
      <c r="AC1596" t="s">
        <v>41</v>
      </c>
      <c r="AD1596" t="s">
        <v>40</v>
      </c>
      <c r="AE1596" t="str">
        <f t="shared" si="479"/>
        <v>05</v>
      </c>
      <c r="AF1596" t="s">
        <v>40</v>
      </c>
    </row>
    <row r="1597" spans="1:32" x14ac:dyDescent="0.25">
      <c r="A1597">
        <v>5</v>
      </c>
      <c r="B1597">
        <v>211</v>
      </c>
      <c r="C1597" t="str">
        <f t="shared" si="483"/>
        <v>11</v>
      </c>
      <c r="D1597">
        <v>6399</v>
      </c>
      <c r="E1597" t="str">
        <f t="shared" si="475"/>
        <v>00</v>
      </c>
      <c r="F1597" t="str">
        <f t="shared" ref="F1597:F1602" si="487">"101"</f>
        <v>101</v>
      </c>
      <c r="G1597">
        <v>5</v>
      </c>
      <c r="H1597" t="str">
        <f t="shared" si="484"/>
        <v>30</v>
      </c>
      <c r="I1597" t="str">
        <f t="shared" si="468"/>
        <v>0</v>
      </c>
      <c r="J1597" t="str">
        <f t="shared" ref="J1597:J1602" si="488">"28"</f>
        <v>28</v>
      </c>
      <c r="K1597">
        <v>20150527</v>
      </c>
      <c r="L1597" t="str">
        <f t="shared" si="485"/>
        <v>015010</v>
      </c>
      <c r="M1597" t="str">
        <f t="shared" si="486"/>
        <v>00015</v>
      </c>
      <c r="N1597" t="s">
        <v>44</v>
      </c>
      <c r="O1597">
        <v>23.87</v>
      </c>
      <c r="Q1597" t="s">
        <v>33</v>
      </c>
      <c r="R1597" t="s">
        <v>34</v>
      </c>
      <c r="S1597" t="s">
        <v>35</v>
      </c>
      <c r="T1597" t="s">
        <v>35</v>
      </c>
      <c r="U1597" t="s">
        <v>34</v>
      </c>
      <c r="V1597" t="str">
        <f>""</f>
        <v/>
      </c>
      <c r="W1597">
        <v>20150527</v>
      </c>
      <c r="X1597" t="s">
        <v>690</v>
      </c>
      <c r="Y1597" t="s">
        <v>59</v>
      </c>
      <c r="Z1597" t="s">
        <v>59</v>
      </c>
      <c r="AA1597">
        <v>0</v>
      </c>
      <c r="AB1597" t="s">
        <v>174</v>
      </c>
      <c r="AC1597" t="s">
        <v>41</v>
      </c>
      <c r="AD1597" t="s">
        <v>40</v>
      </c>
      <c r="AE1597" t="str">
        <f t="shared" si="479"/>
        <v>05</v>
      </c>
      <c r="AF1597" t="s">
        <v>40</v>
      </c>
    </row>
    <row r="1598" spans="1:32" x14ac:dyDescent="0.25">
      <c r="A1598">
        <v>5</v>
      </c>
      <c r="B1598">
        <v>211</v>
      </c>
      <c r="C1598" t="str">
        <f t="shared" si="483"/>
        <v>11</v>
      </c>
      <c r="D1598">
        <v>6399</v>
      </c>
      <c r="E1598" t="str">
        <f t="shared" ref="E1598:E1620" si="489">"00"</f>
        <v>00</v>
      </c>
      <c r="F1598" t="str">
        <f t="shared" si="487"/>
        <v>101</v>
      </c>
      <c r="G1598">
        <v>5</v>
      </c>
      <c r="H1598" t="str">
        <f t="shared" si="484"/>
        <v>30</v>
      </c>
      <c r="I1598" t="str">
        <f t="shared" si="468"/>
        <v>0</v>
      </c>
      <c r="J1598" t="str">
        <f t="shared" si="488"/>
        <v>28</v>
      </c>
      <c r="K1598">
        <v>20150527</v>
      </c>
      <c r="L1598" t="str">
        <f t="shared" si="485"/>
        <v>015010</v>
      </c>
      <c r="M1598" t="str">
        <f t="shared" si="486"/>
        <v>00015</v>
      </c>
      <c r="N1598" t="s">
        <v>44</v>
      </c>
      <c r="O1598">
        <v>250.44</v>
      </c>
      <c r="Q1598" t="s">
        <v>33</v>
      </c>
      <c r="R1598" t="s">
        <v>34</v>
      </c>
      <c r="S1598" t="s">
        <v>35</v>
      </c>
      <c r="T1598" t="s">
        <v>35</v>
      </c>
      <c r="U1598" t="s">
        <v>34</v>
      </c>
      <c r="V1598" t="str">
        <f>""</f>
        <v/>
      </c>
      <c r="W1598">
        <v>20150527</v>
      </c>
      <c r="X1598" t="s">
        <v>690</v>
      </c>
      <c r="Y1598" t="s">
        <v>59</v>
      </c>
      <c r="Z1598" t="s">
        <v>59</v>
      </c>
      <c r="AA1598">
        <v>0</v>
      </c>
      <c r="AB1598" t="s">
        <v>174</v>
      </c>
      <c r="AC1598" t="s">
        <v>41</v>
      </c>
      <c r="AD1598" t="s">
        <v>40</v>
      </c>
      <c r="AE1598" t="str">
        <f t="shared" si="479"/>
        <v>05</v>
      </c>
      <c r="AF1598" t="s">
        <v>40</v>
      </c>
    </row>
    <row r="1599" spans="1:32" x14ac:dyDescent="0.25">
      <c r="A1599">
        <v>5</v>
      </c>
      <c r="B1599">
        <v>211</v>
      </c>
      <c r="C1599" t="str">
        <f t="shared" si="483"/>
        <v>11</v>
      </c>
      <c r="D1599">
        <v>6399</v>
      </c>
      <c r="E1599" t="str">
        <f t="shared" si="489"/>
        <v>00</v>
      </c>
      <c r="F1599" t="str">
        <f t="shared" si="487"/>
        <v>101</v>
      </c>
      <c r="G1599">
        <v>5</v>
      </c>
      <c r="H1599" t="str">
        <f t="shared" si="484"/>
        <v>30</v>
      </c>
      <c r="I1599" t="str">
        <f t="shared" si="468"/>
        <v>0</v>
      </c>
      <c r="J1599" t="str">
        <f t="shared" si="488"/>
        <v>28</v>
      </c>
      <c r="K1599">
        <v>20150527</v>
      </c>
      <c r="L1599" t="str">
        <f t="shared" si="485"/>
        <v>015010</v>
      </c>
      <c r="M1599" t="str">
        <f t="shared" si="486"/>
        <v>00015</v>
      </c>
      <c r="N1599" t="s">
        <v>44</v>
      </c>
      <c r="O1599">
        <v>86.65</v>
      </c>
      <c r="Q1599" t="s">
        <v>33</v>
      </c>
      <c r="R1599" t="s">
        <v>34</v>
      </c>
      <c r="S1599" t="s">
        <v>35</v>
      </c>
      <c r="T1599" t="s">
        <v>35</v>
      </c>
      <c r="U1599" t="s">
        <v>34</v>
      </c>
      <c r="V1599" t="str">
        <f>""</f>
        <v/>
      </c>
      <c r="W1599">
        <v>20150527</v>
      </c>
      <c r="X1599" t="s">
        <v>690</v>
      </c>
      <c r="Y1599" t="s">
        <v>59</v>
      </c>
      <c r="Z1599" t="s">
        <v>59</v>
      </c>
      <c r="AA1599">
        <v>0</v>
      </c>
      <c r="AB1599" t="s">
        <v>174</v>
      </c>
      <c r="AC1599" t="s">
        <v>41</v>
      </c>
      <c r="AD1599" t="s">
        <v>40</v>
      </c>
      <c r="AE1599" t="str">
        <f t="shared" si="479"/>
        <v>05</v>
      </c>
      <c r="AF1599" t="s">
        <v>40</v>
      </c>
    </row>
    <row r="1600" spans="1:32" x14ac:dyDescent="0.25">
      <c r="A1600">
        <v>5</v>
      </c>
      <c r="B1600">
        <v>211</v>
      </c>
      <c r="C1600" t="str">
        <f t="shared" si="483"/>
        <v>11</v>
      </c>
      <c r="D1600">
        <v>6399</v>
      </c>
      <c r="E1600" t="str">
        <f t="shared" si="489"/>
        <v>00</v>
      </c>
      <c r="F1600" t="str">
        <f t="shared" si="487"/>
        <v>101</v>
      </c>
      <c r="G1600">
        <v>5</v>
      </c>
      <c r="H1600" t="str">
        <f t="shared" si="484"/>
        <v>30</v>
      </c>
      <c r="I1600" t="str">
        <f t="shared" si="468"/>
        <v>0</v>
      </c>
      <c r="J1600" t="str">
        <f t="shared" si="488"/>
        <v>28</v>
      </c>
      <c r="K1600">
        <v>20150527</v>
      </c>
      <c r="L1600" t="str">
        <f t="shared" si="485"/>
        <v>015010</v>
      </c>
      <c r="M1600" t="str">
        <f t="shared" si="486"/>
        <v>00015</v>
      </c>
      <c r="N1600" t="s">
        <v>44</v>
      </c>
      <c r="O1600">
        <v>250.44</v>
      </c>
      <c r="Q1600" t="s">
        <v>33</v>
      </c>
      <c r="R1600" t="s">
        <v>34</v>
      </c>
      <c r="S1600" t="s">
        <v>35</v>
      </c>
      <c r="T1600" t="s">
        <v>35</v>
      </c>
      <c r="U1600" t="s">
        <v>34</v>
      </c>
      <c r="V1600" t="str">
        <f>""</f>
        <v/>
      </c>
      <c r="W1600">
        <v>20150527</v>
      </c>
      <c r="X1600" t="s">
        <v>690</v>
      </c>
      <c r="Y1600" t="s">
        <v>59</v>
      </c>
      <c r="Z1600" t="s">
        <v>59</v>
      </c>
      <c r="AA1600">
        <v>0</v>
      </c>
      <c r="AB1600" t="s">
        <v>174</v>
      </c>
      <c r="AC1600" t="s">
        <v>41</v>
      </c>
      <c r="AD1600" t="s">
        <v>40</v>
      </c>
      <c r="AE1600" t="str">
        <f t="shared" si="479"/>
        <v>05</v>
      </c>
      <c r="AF1600" t="s">
        <v>40</v>
      </c>
    </row>
    <row r="1601" spans="1:32" x14ac:dyDescent="0.25">
      <c r="A1601">
        <v>5</v>
      </c>
      <c r="B1601">
        <v>211</v>
      </c>
      <c r="C1601" t="str">
        <f t="shared" si="483"/>
        <v>11</v>
      </c>
      <c r="D1601">
        <v>6399</v>
      </c>
      <c r="E1601" t="str">
        <f t="shared" si="489"/>
        <v>00</v>
      </c>
      <c r="F1601" t="str">
        <f t="shared" si="487"/>
        <v>101</v>
      </c>
      <c r="G1601">
        <v>5</v>
      </c>
      <c r="H1601" t="str">
        <f t="shared" si="484"/>
        <v>30</v>
      </c>
      <c r="I1601" t="str">
        <f t="shared" si="468"/>
        <v>0</v>
      </c>
      <c r="J1601" t="str">
        <f t="shared" si="488"/>
        <v>28</v>
      </c>
      <c r="K1601">
        <v>20150527</v>
      </c>
      <c r="L1601" t="str">
        <f t="shared" si="485"/>
        <v>015010</v>
      </c>
      <c r="M1601" t="str">
        <f t="shared" si="486"/>
        <v>00015</v>
      </c>
      <c r="N1601" t="s">
        <v>44</v>
      </c>
      <c r="O1601">
        <v>90.84</v>
      </c>
      <c r="Q1601" t="s">
        <v>33</v>
      </c>
      <c r="R1601" t="s">
        <v>34</v>
      </c>
      <c r="S1601" t="s">
        <v>35</v>
      </c>
      <c r="T1601" t="s">
        <v>35</v>
      </c>
      <c r="U1601" t="s">
        <v>34</v>
      </c>
      <c r="V1601" t="str">
        <f>""</f>
        <v/>
      </c>
      <c r="W1601">
        <v>20150527</v>
      </c>
      <c r="X1601" t="s">
        <v>690</v>
      </c>
      <c r="Y1601" t="s">
        <v>59</v>
      </c>
      <c r="Z1601" t="s">
        <v>59</v>
      </c>
      <c r="AA1601">
        <v>0</v>
      </c>
      <c r="AB1601" t="s">
        <v>174</v>
      </c>
      <c r="AC1601" t="s">
        <v>41</v>
      </c>
      <c r="AD1601" t="s">
        <v>40</v>
      </c>
      <c r="AE1601" t="str">
        <f t="shared" si="479"/>
        <v>05</v>
      </c>
      <c r="AF1601" t="s">
        <v>40</v>
      </c>
    </row>
    <row r="1602" spans="1:32" x14ac:dyDescent="0.25">
      <c r="A1602">
        <v>5</v>
      </c>
      <c r="B1602">
        <v>211</v>
      </c>
      <c r="C1602" t="str">
        <f t="shared" si="483"/>
        <v>11</v>
      </c>
      <c r="D1602">
        <v>6399</v>
      </c>
      <c r="E1602" t="str">
        <f t="shared" si="489"/>
        <v>00</v>
      </c>
      <c r="F1602" t="str">
        <f t="shared" si="487"/>
        <v>101</v>
      </c>
      <c r="G1602">
        <v>5</v>
      </c>
      <c r="H1602" t="str">
        <f t="shared" si="484"/>
        <v>30</v>
      </c>
      <c r="I1602" t="str">
        <f t="shared" ref="I1602:I1665" si="490">"0"</f>
        <v>0</v>
      </c>
      <c r="J1602" t="str">
        <f t="shared" si="488"/>
        <v>28</v>
      </c>
      <c r="K1602">
        <v>20150527</v>
      </c>
      <c r="L1602" t="str">
        <f t="shared" si="485"/>
        <v>015010</v>
      </c>
      <c r="M1602" t="str">
        <f t="shared" si="486"/>
        <v>00015</v>
      </c>
      <c r="N1602" t="s">
        <v>44</v>
      </c>
      <c r="O1602">
        <v>467.49</v>
      </c>
      <c r="Q1602" t="s">
        <v>33</v>
      </c>
      <c r="R1602" t="s">
        <v>34</v>
      </c>
      <c r="S1602" t="s">
        <v>35</v>
      </c>
      <c r="T1602" t="s">
        <v>35</v>
      </c>
      <c r="U1602" t="s">
        <v>34</v>
      </c>
      <c r="V1602" t="str">
        <f>""</f>
        <v/>
      </c>
      <c r="W1602">
        <v>20150527</v>
      </c>
      <c r="X1602" t="s">
        <v>690</v>
      </c>
      <c r="Y1602" t="s">
        <v>59</v>
      </c>
      <c r="Z1602" t="s">
        <v>59</v>
      </c>
      <c r="AA1602">
        <v>0</v>
      </c>
      <c r="AB1602" t="s">
        <v>174</v>
      </c>
      <c r="AC1602" t="s">
        <v>41</v>
      </c>
      <c r="AD1602" t="s">
        <v>40</v>
      </c>
      <c r="AE1602" t="str">
        <f t="shared" si="479"/>
        <v>05</v>
      </c>
      <c r="AF1602" t="s">
        <v>40</v>
      </c>
    </row>
    <row r="1603" spans="1:32" x14ac:dyDescent="0.25">
      <c r="A1603">
        <v>5</v>
      </c>
      <c r="B1603">
        <v>224</v>
      </c>
      <c r="C1603" t="str">
        <f t="shared" si="483"/>
        <v>11</v>
      </c>
      <c r="D1603">
        <v>6219</v>
      </c>
      <c r="E1603" t="str">
        <f t="shared" si="489"/>
        <v>00</v>
      </c>
      <c r="F1603" t="str">
        <f>"999"</f>
        <v>999</v>
      </c>
      <c r="G1603">
        <v>5</v>
      </c>
      <c r="H1603" t="str">
        <f>"23"</f>
        <v>23</v>
      </c>
      <c r="I1603" t="str">
        <f t="shared" si="490"/>
        <v>0</v>
      </c>
      <c r="J1603" t="str">
        <f t="shared" ref="J1603:J1617" si="491">"00"</f>
        <v>00</v>
      </c>
      <c r="K1603">
        <v>20150527</v>
      </c>
      <c r="L1603" t="str">
        <f t="shared" si="485"/>
        <v>015010</v>
      </c>
      <c r="M1603" t="str">
        <f t="shared" si="486"/>
        <v>00015</v>
      </c>
      <c r="N1603" t="s">
        <v>44</v>
      </c>
      <c r="O1603">
        <v>426</v>
      </c>
      <c r="Q1603" t="s">
        <v>33</v>
      </c>
      <c r="R1603" t="s">
        <v>34</v>
      </c>
      <c r="S1603" t="s">
        <v>35</v>
      </c>
      <c r="T1603" t="s">
        <v>35</v>
      </c>
      <c r="U1603" t="s">
        <v>34</v>
      </c>
      <c r="V1603" t="str">
        <f>""</f>
        <v/>
      </c>
      <c r="W1603">
        <v>20150527</v>
      </c>
      <c r="X1603" t="s">
        <v>209</v>
      </c>
      <c r="Y1603" t="s">
        <v>880</v>
      </c>
      <c r="Z1603" t="s">
        <v>880</v>
      </c>
      <c r="AA1603">
        <v>0</v>
      </c>
      <c r="AB1603" t="s">
        <v>211</v>
      </c>
      <c r="AC1603" t="s">
        <v>143</v>
      </c>
      <c r="AD1603" t="s">
        <v>40</v>
      </c>
      <c r="AE1603" t="str">
        <f t="shared" si="479"/>
        <v>05</v>
      </c>
      <c r="AF1603" t="s">
        <v>40</v>
      </c>
    </row>
    <row r="1604" spans="1:32" x14ac:dyDescent="0.25">
      <c r="A1604">
        <v>5</v>
      </c>
      <c r="B1604">
        <v>420</v>
      </c>
      <c r="C1604" t="str">
        <f t="shared" si="483"/>
        <v>11</v>
      </c>
      <c r="D1604">
        <v>6339</v>
      </c>
      <c r="E1604" t="str">
        <f t="shared" si="489"/>
        <v>00</v>
      </c>
      <c r="F1604" t="str">
        <f>"001"</f>
        <v>001</v>
      </c>
      <c r="G1604">
        <v>5</v>
      </c>
      <c r="H1604" t="str">
        <f t="shared" ref="H1604:H1610" si="492">"11"</f>
        <v>11</v>
      </c>
      <c r="I1604" t="str">
        <f t="shared" si="490"/>
        <v>0</v>
      </c>
      <c r="J1604" t="str">
        <f t="shared" si="491"/>
        <v>00</v>
      </c>
      <c r="K1604">
        <v>20150527</v>
      </c>
      <c r="L1604" t="str">
        <f t="shared" si="485"/>
        <v>015010</v>
      </c>
      <c r="M1604" t="str">
        <f t="shared" si="486"/>
        <v>00015</v>
      </c>
      <c r="N1604" t="s">
        <v>44</v>
      </c>
      <c r="O1604">
        <v>110</v>
      </c>
      <c r="Q1604" t="s">
        <v>33</v>
      </c>
      <c r="R1604" t="s">
        <v>34</v>
      </c>
      <c r="S1604" t="s">
        <v>35</v>
      </c>
      <c r="T1604" t="s">
        <v>35</v>
      </c>
      <c r="U1604" t="s">
        <v>34</v>
      </c>
      <c r="V1604" t="str">
        <f>""</f>
        <v/>
      </c>
      <c r="W1604">
        <v>20150527</v>
      </c>
      <c r="X1604" t="s">
        <v>662</v>
      </c>
      <c r="Y1604" t="s">
        <v>881</v>
      </c>
      <c r="Z1604" t="s">
        <v>881</v>
      </c>
      <c r="AA1604">
        <v>0</v>
      </c>
      <c r="AB1604" t="s">
        <v>142</v>
      </c>
      <c r="AC1604" t="s">
        <v>41</v>
      </c>
      <c r="AD1604" t="s">
        <v>40</v>
      </c>
      <c r="AE1604" t="str">
        <f t="shared" si="479"/>
        <v>05</v>
      </c>
      <c r="AF1604" t="s">
        <v>40</v>
      </c>
    </row>
    <row r="1605" spans="1:32" x14ac:dyDescent="0.25">
      <c r="A1605">
        <v>5</v>
      </c>
      <c r="B1605">
        <v>420</v>
      </c>
      <c r="C1605" t="str">
        <f t="shared" si="483"/>
        <v>11</v>
      </c>
      <c r="D1605">
        <v>6399</v>
      </c>
      <c r="E1605" t="str">
        <f t="shared" si="489"/>
        <v>00</v>
      </c>
      <c r="F1605" t="str">
        <f>"001"</f>
        <v>001</v>
      </c>
      <c r="G1605">
        <v>5</v>
      </c>
      <c r="H1605" t="str">
        <f t="shared" si="492"/>
        <v>11</v>
      </c>
      <c r="I1605" t="str">
        <f t="shared" si="490"/>
        <v>0</v>
      </c>
      <c r="J1605" t="str">
        <f t="shared" si="491"/>
        <v>00</v>
      </c>
      <c r="K1605">
        <v>20150527</v>
      </c>
      <c r="L1605" t="str">
        <f t="shared" si="485"/>
        <v>015010</v>
      </c>
      <c r="M1605" t="str">
        <f t="shared" si="486"/>
        <v>00015</v>
      </c>
      <c r="N1605" t="s">
        <v>44</v>
      </c>
      <c r="O1605">
        <v>108.5</v>
      </c>
      <c r="Q1605" t="s">
        <v>33</v>
      </c>
      <c r="R1605" t="s">
        <v>34</v>
      </c>
      <c r="S1605" t="s">
        <v>35</v>
      </c>
      <c r="T1605" t="s">
        <v>35</v>
      </c>
      <c r="U1605" t="s">
        <v>34</v>
      </c>
      <c r="V1605" t="str">
        <f>""</f>
        <v/>
      </c>
      <c r="W1605">
        <v>20150527</v>
      </c>
      <c r="X1605" t="s">
        <v>239</v>
      </c>
      <c r="Y1605" t="s">
        <v>882</v>
      </c>
      <c r="Z1605" t="s">
        <v>882</v>
      </c>
      <c r="AA1605">
        <v>0</v>
      </c>
      <c r="AB1605" t="s">
        <v>142</v>
      </c>
      <c r="AC1605" t="s">
        <v>41</v>
      </c>
      <c r="AD1605" t="s">
        <v>40</v>
      </c>
      <c r="AE1605" t="str">
        <f t="shared" si="479"/>
        <v>05</v>
      </c>
      <c r="AF1605" t="s">
        <v>40</v>
      </c>
    </row>
    <row r="1606" spans="1:32" x14ac:dyDescent="0.25">
      <c r="A1606">
        <v>5</v>
      </c>
      <c r="B1606">
        <v>420</v>
      </c>
      <c r="C1606" t="str">
        <f t="shared" si="483"/>
        <v>11</v>
      </c>
      <c r="D1606">
        <v>6399</v>
      </c>
      <c r="E1606" t="str">
        <f t="shared" si="489"/>
        <v>00</v>
      </c>
      <c r="F1606" t="str">
        <f>"001"</f>
        <v>001</v>
      </c>
      <c r="G1606">
        <v>5</v>
      </c>
      <c r="H1606" t="str">
        <f t="shared" si="492"/>
        <v>11</v>
      </c>
      <c r="I1606" t="str">
        <f t="shared" si="490"/>
        <v>0</v>
      </c>
      <c r="J1606" t="str">
        <f t="shared" si="491"/>
        <v>00</v>
      </c>
      <c r="K1606">
        <v>20150527</v>
      </c>
      <c r="L1606" t="str">
        <f t="shared" si="485"/>
        <v>015010</v>
      </c>
      <c r="M1606" t="str">
        <f t="shared" si="486"/>
        <v>00015</v>
      </c>
      <c r="N1606" t="s">
        <v>44</v>
      </c>
      <c r="O1606">
        <v>37.71</v>
      </c>
      <c r="Q1606" t="s">
        <v>33</v>
      </c>
      <c r="R1606" t="s">
        <v>34</v>
      </c>
      <c r="S1606" t="s">
        <v>35</v>
      </c>
      <c r="T1606" t="s">
        <v>35</v>
      </c>
      <c r="U1606" t="s">
        <v>34</v>
      </c>
      <c r="V1606" t="str">
        <f>""</f>
        <v/>
      </c>
      <c r="W1606">
        <v>20150527</v>
      </c>
      <c r="X1606" t="s">
        <v>239</v>
      </c>
      <c r="Y1606" t="s">
        <v>883</v>
      </c>
      <c r="Z1606" t="s">
        <v>883</v>
      </c>
      <c r="AA1606">
        <v>0</v>
      </c>
      <c r="AB1606" t="s">
        <v>142</v>
      </c>
      <c r="AC1606" t="s">
        <v>41</v>
      </c>
      <c r="AD1606" t="s">
        <v>40</v>
      </c>
      <c r="AE1606" t="str">
        <f t="shared" si="479"/>
        <v>05</v>
      </c>
      <c r="AF1606" t="s">
        <v>40</v>
      </c>
    </row>
    <row r="1607" spans="1:32" x14ac:dyDescent="0.25">
      <c r="A1607">
        <v>5</v>
      </c>
      <c r="B1607">
        <v>420</v>
      </c>
      <c r="C1607" t="str">
        <f t="shared" si="483"/>
        <v>11</v>
      </c>
      <c r="D1607">
        <v>6399</v>
      </c>
      <c r="E1607" t="str">
        <f t="shared" si="489"/>
        <v>00</v>
      </c>
      <c r="F1607" t="str">
        <f>"041"</f>
        <v>041</v>
      </c>
      <c r="G1607">
        <v>5</v>
      </c>
      <c r="H1607" t="str">
        <f t="shared" si="492"/>
        <v>11</v>
      </c>
      <c r="I1607" t="str">
        <f t="shared" si="490"/>
        <v>0</v>
      </c>
      <c r="J1607" t="str">
        <f t="shared" si="491"/>
        <v>00</v>
      </c>
      <c r="K1607">
        <v>20150527</v>
      </c>
      <c r="L1607" t="str">
        <f t="shared" si="485"/>
        <v>015010</v>
      </c>
      <c r="M1607" t="str">
        <f t="shared" si="486"/>
        <v>00015</v>
      </c>
      <c r="N1607" t="s">
        <v>44</v>
      </c>
      <c r="O1607">
        <v>37.71</v>
      </c>
      <c r="Q1607" t="s">
        <v>33</v>
      </c>
      <c r="R1607" t="s">
        <v>34</v>
      </c>
      <c r="S1607" t="s">
        <v>35</v>
      </c>
      <c r="T1607" t="s">
        <v>35</v>
      </c>
      <c r="U1607" t="s">
        <v>34</v>
      </c>
      <c r="V1607" t="str">
        <f>""</f>
        <v/>
      </c>
      <c r="W1607">
        <v>20150527</v>
      </c>
      <c r="X1607" t="s">
        <v>241</v>
      </c>
      <c r="Y1607" t="s">
        <v>883</v>
      </c>
      <c r="Z1607" t="s">
        <v>883</v>
      </c>
      <c r="AA1607">
        <v>0</v>
      </c>
      <c r="AB1607" t="s">
        <v>142</v>
      </c>
      <c r="AC1607" t="s">
        <v>41</v>
      </c>
      <c r="AD1607" t="s">
        <v>40</v>
      </c>
      <c r="AE1607" t="str">
        <f t="shared" ref="AE1607:AE1638" si="493">"05"</f>
        <v>05</v>
      </c>
      <c r="AF1607" t="s">
        <v>40</v>
      </c>
    </row>
    <row r="1608" spans="1:32" x14ac:dyDescent="0.25">
      <c r="A1608">
        <v>5</v>
      </c>
      <c r="B1608">
        <v>420</v>
      </c>
      <c r="C1608" t="str">
        <f t="shared" si="483"/>
        <v>11</v>
      </c>
      <c r="D1608">
        <v>6399</v>
      </c>
      <c r="E1608" t="str">
        <f t="shared" si="489"/>
        <v>00</v>
      </c>
      <c r="F1608" t="str">
        <f>"101"</f>
        <v>101</v>
      </c>
      <c r="G1608">
        <v>5</v>
      </c>
      <c r="H1608" t="str">
        <f t="shared" si="492"/>
        <v>11</v>
      </c>
      <c r="I1608" t="str">
        <f t="shared" si="490"/>
        <v>0</v>
      </c>
      <c r="J1608" t="str">
        <f t="shared" si="491"/>
        <v>00</v>
      </c>
      <c r="K1608">
        <v>20150527</v>
      </c>
      <c r="L1608" t="str">
        <f t="shared" si="485"/>
        <v>015010</v>
      </c>
      <c r="M1608" t="str">
        <f t="shared" si="486"/>
        <v>00015</v>
      </c>
      <c r="N1608" t="s">
        <v>44</v>
      </c>
      <c r="O1608">
        <v>108.5</v>
      </c>
      <c r="Q1608" t="s">
        <v>33</v>
      </c>
      <c r="R1608" t="s">
        <v>34</v>
      </c>
      <c r="S1608" t="s">
        <v>35</v>
      </c>
      <c r="T1608" t="s">
        <v>35</v>
      </c>
      <c r="U1608" t="s">
        <v>34</v>
      </c>
      <c r="V1608" t="str">
        <f>""</f>
        <v/>
      </c>
      <c r="W1608">
        <v>20150527</v>
      </c>
      <c r="X1608" t="s">
        <v>246</v>
      </c>
      <c r="Y1608" t="s">
        <v>882</v>
      </c>
      <c r="Z1608" t="s">
        <v>882</v>
      </c>
      <c r="AA1608">
        <v>0</v>
      </c>
      <c r="AB1608" t="s">
        <v>142</v>
      </c>
      <c r="AC1608" t="s">
        <v>41</v>
      </c>
      <c r="AD1608" t="s">
        <v>40</v>
      </c>
      <c r="AE1608" t="str">
        <f t="shared" si="493"/>
        <v>05</v>
      </c>
      <c r="AF1608" t="s">
        <v>40</v>
      </c>
    </row>
    <row r="1609" spans="1:32" x14ac:dyDescent="0.25">
      <c r="A1609">
        <v>5</v>
      </c>
      <c r="B1609">
        <v>420</v>
      </c>
      <c r="C1609" t="str">
        <f t="shared" si="483"/>
        <v>11</v>
      </c>
      <c r="D1609">
        <v>6399</v>
      </c>
      <c r="E1609" t="str">
        <f t="shared" si="489"/>
        <v>00</v>
      </c>
      <c r="F1609" t="str">
        <f>"101"</f>
        <v>101</v>
      </c>
      <c r="G1609">
        <v>5</v>
      </c>
      <c r="H1609" t="str">
        <f t="shared" si="492"/>
        <v>11</v>
      </c>
      <c r="I1609" t="str">
        <f t="shared" si="490"/>
        <v>0</v>
      </c>
      <c r="J1609" t="str">
        <f t="shared" si="491"/>
        <v>00</v>
      </c>
      <c r="K1609">
        <v>20150527</v>
      </c>
      <c r="L1609" t="str">
        <f t="shared" si="485"/>
        <v>015010</v>
      </c>
      <c r="M1609" t="str">
        <f t="shared" si="486"/>
        <v>00015</v>
      </c>
      <c r="N1609" t="s">
        <v>44</v>
      </c>
      <c r="O1609">
        <v>176.03</v>
      </c>
      <c r="Q1609" t="s">
        <v>33</v>
      </c>
      <c r="R1609" t="s">
        <v>34</v>
      </c>
      <c r="S1609" t="s">
        <v>35</v>
      </c>
      <c r="T1609" t="s">
        <v>35</v>
      </c>
      <c r="U1609" t="s">
        <v>34</v>
      </c>
      <c r="V1609" t="str">
        <f>""</f>
        <v/>
      </c>
      <c r="W1609">
        <v>20150527</v>
      </c>
      <c r="X1609" t="s">
        <v>246</v>
      </c>
      <c r="Y1609" t="s">
        <v>883</v>
      </c>
      <c r="Z1609" t="s">
        <v>883</v>
      </c>
      <c r="AA1609">
        <v>0</v>
      </c>
      <c r="AB1609" t="s">
        <v>142</v>
      </c>
      <c r="AC1609" t="s">
        <v>41</v>
      </c>
      <c r="AD1609" t="s">
        <v>40</v>
      </c>
      <c r="AE1609" t="str">
        <f t="shared" si="493"/>
        <v>05</v>
      </c>
      <c r="AF1609" t="s">
        <v>40</v>
      </c>
    </row>
    <row r="1610" spans="1:32" x14ac:dyDescent="0.25">
      <c r="A1610">
        <v>5</v>
      </c>
      <c r="B1610">
        <v>420</v>
      </c>
      <c r="C1610" t="str">
        <f t="shared" si="483"/>
        <v>11</v>
      </c>
      <c r="D1610">
        <v>6411</v>
      </c>
      <c r="E1610" t="str">
        <f t="shared" si="489"/>
        <v>00</v>
      </c>
      <c r="F1610" t="str">
        <f t="shared" ref="F1610:F1617" si="494">"999"</f>
        <v>999</v>
      </c>
      <c r="G1610">
        <v>5</v>
      </c>
      <c r="H1610" t="str">
        <f t="shared" si="492"/>
        <v>11</v>
      </c>
      <c r="I1610" t="str">
        <f t="shared" si="490"/>
        <v>0</v>
      </c>
      <c r="J1610" t="str">
        <f t="shared" si="491"/>
        <v>00</v>
      </c>
      <c r="K1610">
        <v>20150527</v>
      </c>
      <c r="L1610" t="str">
        <f t="shared" si="485"/>
        <v>015010</v>
      </c>
      <c r="M1610" t="str">
        <f t="shared" si="486"/>
        <v>00015</v>
      </c>
      <c r="N1610" t="s">
        <v>44</v>
      </c>
      <c r="O1610">
        <v>348.54</v>
      </c>
      <c r="Q1610" t="s">
        <v>33</v>
      </c>
      <c r="R1610" t="s">
        <v>34</v>
      </c>
      <c r="S1610" t="s">
        <v>35</v>
      </c>
      <c r="T1610" t="s">
        <v>35</v>
      </c>
      <c r="U1610" t="s">
        <v>34</v>
      </c>
      <c r="V1610" t="str">
        <f>""</f>
        <v/>
      </c>
      <c r="W1610">
        <v>20150527</v>
      </c>
      <c r="X1610" t="s">
        <v>328</v>
      </c>
      <c r="Y1610" t="s">
        <v>880</v>
      </c>
      <c r="Z1610" t="s">
        <v>880</v>
      </c>
      <c r="AA1610">
        <v>0</v>
      </c>
      <c r="AB1610" t="s">
        <v>142</v>
      </c>
      <c r="AC1610" t="s">
        <v>143</v>
      </c>
      <c r="AD1610" t="s">
        <v>40</v>
      </c>
      <c r="AE1610" t="str">
        <f t="shared" si="493"/>
        <v>05</v>
      </c>
      <c r="AF1610" t="s">
        <v>40</v>
      </c>
    </row>
    <row r="1611" spans="1:32" x14ac:dyDescent="0.25">
      <c r="A1611">
        <v>5</v>
      </c>
      <c r="B1611">
        <v>420</v>
      </c>
      <c r="C1611" t="str">
        <f>"51"</f>
        <v>51</v>
      </c>
      <c r="D1611">
        <v>6269</v>
      </c>
      <c r="E1611" t="str">
        <f t="shared" si="489"/>
        <v>00</v>
      </c>
      <c r="F1611" t="str">
        <f t="shared" si="494"/>
        <v>999</v>
      </c>
      <c r="G1611">
        <v>5</v>
      </c>
      <c r="H1611" t="str">
        <f t="shared" ref="H1611:H1617" si="495">"99"</f>
        <v>99</v>
      </c>
      <c r="I1611" t="str">
        <f t="shared" si="490"/>
        <v>0</v>
      </c>
      <c r="J1611" t="str">
        <f t="shared" si="491"/>
        <v>00</v>
      </c>
      <c r="K1611">
        <v>20150527</v>
      </c>
      <c r="L1611" t="str">
        <f t="shared" si="485"/>
        <v>015010</v>
      </c>
      <c r="M1611" t="str">
        <f t="shared" si="486"/>
        <v>00015</v>
      </c>
      <c r="N1611" t="s">
        <v>44</v>
      </c>
      <c r="O1611">
        <v>99</v>
      </c>
      <c r="Q1611" t="s">
        <v>33</v>
      </c>
      <c r="R1611" t="s">
        <v>34</v>
      </c>
      <c r="S1611" t="s">
        <v>35</v>
      </c>
      <c r="T1611" t="s">
        <v>35</v>
      </c>
      <c r="U1611" t="s">
        <v>34</v>
      </c>
      <c r="V1611" t="str">
        <f>""</f>
        <v/>
      </c>
      <c r="W1611">
        <v>20150527</v>
      </c>
      <c r="X1611" t="s">
        <v>225</v>
      </c>
      <c r="Y1611" t="s">
        <v>525</v>
      </c>
      <c r="Z1611" t="s">
        <v>525</v>
      </c>
      <c r="AA1611">
        <v>0</v>
      </c>
      <c r="AB1611" t="s">
        <v>142</v>
      </c>
      <c r="AC1611" t="s">
        <v>143</v>
      </c>
      <c r="AD1611" t="s">
        <v>40</v>
      </c>
      <c r="AE1611" t="str">
        <f t="shared" si="493"/>
        <v>05</v>
      </c>
      <c r="AF1611" t="s">
        <v>40</v>
      </c>
    </row>
    <row r="1612" spans="1:32" x14ac:dyDescent="0.25">
      <c r="A1612">
        <v>5</v>
      </c>
      <c r="B1612">
        <v>420</v>
      </c>
      <c r="C1612" t="str">
        <f>"51"</f>
        <v>51</v>
      </c>
      <c r="D1612">
        <v>6319</v>
      </c>
      <c r="E1612" t="str">
        <f t="shared" si="489"/>
        <v>00</v>
      </c>
      <c r="F1612" t="str">
        <f t="shared" si="494"/>
        <v>999</v>
      </c>
      <c r="G1612">
        <v>5</v>
      </c>
      <c r="H1612" t="str">
        <f t="shared" si="495"/>
        <v>99</v>
      </c>
      <c r="I1612" t="str">
        <f t="shared" si="490"/>
        <v>0</v>
      </c>
      <c r="J1612" t="str">
        <f t="shared" si="491"/>
        <v>00</v>
      </c>
      <c r="K1612">
        <v>20150527</v>
      </c>
      <c r="L1612" t="str">
        <f t="shared" si="485"/>
        <v>015010</v>
      </c>
      <c r="M1612" t="str">
        <f t="shared" si="486"/>
        <v>00015</v>
      </c>
      <c r="N1612" t="s">
        <v>44</v>
      </c>
      <c r="O1612">
        <v>218.49</v>
      </c>
      <c r="Q1612" t="s">
        <v>33</v>
      </c>
      <c r="R1612" t="s">
        <v>34</v>
      </c>
      <c r="S1612" t="s">
        <v>35</v>
      </c>
      <c r="T1612" t="s">
        <v>35</v>
      </c>
      <c r="U1612" t="s">
        <v>34</v>
      </c>
      <c r="V1612" t="str">
        <f>""</f>
        <v/>
      </c>
      <c r="W1612">
        <v>20150527</v>
      </c>
      <c r="X1612" t="s">
        <v>185</v>
      </c>
      <c r="Y1612" t="s">
        <v>530</v>
      </c>
      <c r="Z1612" t="s">
        <v>530</v>
      </c>
      <c r="AA1612">
        <v>0</v>
      </c>
      <c r="AB1612" t="s">
        <v>142</v>
      </c>
      <c r="AC1612" t="s">
        <v>143</v>
      </c>
      <c r="AD1612" t="s">
        <v>40</v>
      </c>
      <c r="AE1612" t="str">
        <f t="shared" si="493"/>
        <v>05</v>
      </c>
      <c r="AF1612" t="s">
        <v>40</v>
      </c>
    </row>
    <row r="1613" spans="1:32" x14ac:dyDescent="0.25">
      <c r="A1613">
        <v>5</v>
      </c>
      <c r="B1613">
        <v>420</v>
      </c>
      <c r="C1613" t="str">
        <f>"51"</f>
        <v>51</v>
      </c>
      <c r="D1613">
        <v>6319</v>
      </c>
      <c r="E1613" t="str">
        <f t="shared" si="489"/>
        <v>00</v>
      </c>
      <c r="F1613" t="str">
        <f t="shared" si="494"/>
        <v>999</v>
      </c>
      <c r="G1613">
        <v>5</v>
      </c>
      <c r="H1613" t="str">
        <f t="shared" si="495"/>
        <v>99</v>
      </c>
      <c r="I1613" t="str">
        <f t="shared" si="490"/>
        <v>0</v>
      </c>
      <c r="J1613" t="str">
        <f t="shared" si="491"/>
        <v>00</v>
      </c>
      <c r="K1613">
        <v>20150527</v>
      </c>
      <c r="L1613" t="str">
        <f t="shared" si="485"/>
        <v>015010</v>
      </c>
      <c r="M1613" t="str">
        <f t="shared" si="486"/>
        <v>00015</v>
      </c>
      <c r="N1613" t="s">
        <v>44</v>
      </c>
      <c r="O1613">
        <v>191.43</v>
      </c>
      <c r="Q1613" t="s">
        <v>33</v>
      </c>
      <c r="R1613" t="s">
        <v>34</v>
      </c>
      <c r="S1613" t="s">
        <v>35</v>
      </c>
      <c r="T1613" t="s">
        <v>35</v>
      </c>
      <c r="U1613" t="s">
        <v>34</v>
      </c>
      <c r="V1613" t="str">
        <f>""</f>
        <v/>
      </c>
      <c r="W1613">
        <v>20150527</v>
      </c>
      <c r="X1613" t="s">
        <v>185</v>
      </c>
      <c r="Y1613" t="s">
        <v>530</v>
      </c>
      <c r="Z1613" t="s">
        <v>530</v>
      </c>
      <c r="AA1613">
        <v>0</v>
      </c>
      <c r="AB1613" t="s">
        <v>142</v>
      </c>
      <c r="AC1613" t="s">
        <v>143</v>
      </c>
      <c r="AD1613" t="s">
        <v>40</v>
      </c>
      <c r="AE1613" t="str">
        <f t="shared" si="493"/>
        <v>05</v>
      </c>
      <c r="AF1613" t="s">
        <v>40</v>
      </c>
    </row>
    <row r="1614" spans="1:32" x14ac:dyDescent="0.25">
      <c r="A1614">
        <v>5</v>
      </c>
      <c r="B1614">
        <v>420</v>
      </c>
      <c r="C1614" t="str">
        <f>"52"</f>
        <v>52</v>
      </c>
      <c r="D1614">
        <v>6219</v>
      </c>
      <c r="E1614" t="str">
        <f t="shared" si="489"/>
        <v>00</v>
      </c>
      <c r="F1614" t="str">
        <f t="shared" si="494"/>
        <v>999</v>
      </c>
      <c r="G1614">
        <v>5</v>
      </c>
      <c r="H1614" t="str">
        <f t="shared" si="495"/>
        <v>99</v>
      </c>
      <c r="I1614" t="str">
        <f t="shared" si="490"/>
        <v>0</v>
      </c>
      <c r="J1614" t="str">
        <f t="shared" si="491"/>
        <v>00</v>
      </c>
      <c r="K1614">
        <v>20150527</v>
      </c>
      <c r="L1614" t="str">
        <f t="shared" si="485"/>
        <v>015010</v>
      </c>
      <c r="M1614" t="str">
        <f t="shared" si="486"/>
        <v>00015</v>
      </c>
      <c r="N1614" t="s">
        <v>44</v>
      </c>
      <c r="O1614">
        <v>10.43</v>
      </c>
      <c r="Q1614" t="s">
        <v>33</v>
      </c>
      <c r="R1614" t="s">
        <v>34</v>
      </c>
      <c r="S1614" t="s">
        <v>35</v>
      </c>
      <c r="T1614" t="s">
        <v>35</v>
      </c>
      <c r="U1614" t="s">
        <v>34</v>
      </c>
      <c r="V1614" t="str">
        <f>""</f>
        <v/>
      </c>
      <c r="W1614">
        <v>20150527</v>
      </c>
      <c r="X1614" t="s">
        <v>208</v>
      </c>
      <c r="Y1614" t="s">
        <v>884</v>
      </c>
      <c r="Z1614" t="s">
        <v>884</v>
      </c>
      <c r="AA1614">
        <v>0</v>
      </c>
      <c r="AB1614" t="s">
        <v>142</v>
      </c>
      <c r="AC1614" t="s">
        <v>143</v>
      </c>
      <c r="AD1614" t="s">
        <v>40</v>
      </c>
      <c r="AE1614" t="str">
        <f t="shared" si="493"/>
        <v>05</v>
      </c>
      <c r="AF1614" t="s">
        <v>40</v>
      </c>
    </row>
    <row r="1615" spans="1:32" x14ac:dyDescent="0.25">
      <c r="A1615">
        <v>5</v>
      </c>
      <c r="B1615">
        <v>420</v>
      </c>
      <c r="C1615" t="str">
        <f>"52"</f>
        <v>52</v>
      </c>
      <c r="D1615">
        <v>6219</v>
      </c>
      <c r="E1615" t="str">
        <f t="shared" si="489"/>
        <v>00</v>
      </c>
      <c r="F1615" t="str">
        <f t="shared" si="494"/>
        <v>999</v>
      </c>
      <c r="G1615">
        <v>5</v>
      </c>
      <c r="H1615" t="str">
        <f t="shared" si="495"/>
        <v>99</v>
      </c>
      <c r="I1615" t="str">
        <f t="shared" si="490"/>
        <v>0</v>
      </c>
      <c r="J1615" t="str">
        <f t="shared" si="491"/>
        <v>00</v>
      </c>
      <c r="K1615">
        <v>20150527</v>
      </c>
      <c r="L1615" t="str">
        <f t="shared" si="485"/>
        <v>015010</v>
      </c>
      <c r="M1615" t="str">
        <f t="shared" si="486"/>
        <v>00015</v>
      </c>
      <c r="N1615" t="s">
        <v>44</v>
      </c>
      <c r="O1615">
        <v>85</v>
      </c>
      <c r="Q1615" t="s">
        <v>33</v>
      </c>
      <c r="R1615" t="s">
        <v>34</v>
      </c>
      <c r="S1615" t="s">
        <v>35</v>
      </c>
      <c r="T1615" t="s">
        <v>35</v>
      </c>
      <c r="U1615" t="s">
        <v>34</v>
      </c>
      <c r="V1615" t="str">
        <f>""</f>
        <v/>
      </c>
      <c r="W1615">
        <v>20150527</v>
      </c>
      <c r="X1615" t="s">
        <v>208</v>
      </c>
      <c r="Y1615" t="s">
        <v>885</v>
      </c>
      <c r="Z1615" t="s">
        <v>885</v>
      </c>
      <c r="AA1615">
        <v>0</v>
      </c>
      <c r="AB1615" t="s">
        <v>142</v>
      </c>
      <c r="AC1615" t="s">
        <v>143</v>
      </c>
      <c r="AD1615" t="s">
        <v>40</v>
      </c>
      <c r="AE1615" t="str">
        <f t="shared" si="493"/>
        <v>05</v>
      </c>
      <c r="AF1615" t="s">
        <v>40</v>
      </c>
    </row>
    <row r="1616" spans="1:32" x14ac:dyDescent="0.25">
      <c r="A1616">
        <v>5</v>
      </c>
      <c r="B1616">
        <v>420</v>
      </c>
      <c r="C1616" t="str">
        <f>"52"</f>
        <v>52</v>
      </c>
      <c r="D1616">
        <v>6399</v>
      </c>
      <c r="E1616" t="str">
        <f t="shared" si="489"/>
        <v>00</v>
      </c>
      <c r="F1616" t="str">
        <f t="shared" si="494"/>
        <v>999</v>
      </c>
      <c r="G1616">
        <v>5</v>
      </c>
      <c r="H1616" t="str">
        <f t="shared" si="495"/>
        <v>99</v>
      </c>
      <c r="I1616" t="str">
        <f t="shared" si="490"/>
        <v>0</v>
      </c>
      <c r="J1616" t="str">
        <f t="shared" si="491"/>
        <v>00</v>
      </c>
      <c r="K1616">
        <v>20150527</v>
      </c>
      <c r="L1616" t="str">
        <f t="shared" si="485"/>
        <v>015010</v>
      </c>
      <c r="M1616" t="str">
        <f t="shared" si="486"/>
        <v>00015</v>
      </c>
      <c r="N1616" t="s">
        <v>44</v>
      </c>
      <c r="O1616">
        <v>43.21</v>
      </c>
      <c r="Q1616" t="s">
        <v>33</v>
      </c>
      <c r="R1616" t="s">
        <v>34</v>
      </c>
      <c r="S1616" t="s">
        <v>35</v>
      </c>
      <c r="T1616" t="s">
        <v>35</v>
      </c>
      <c r="U1616" t="s">
        <v>34</v>
      </c>
      <c r="V1616" t="str">
        <f>""</f>
        <v/>
      </c>
      <c r="W1616">
        <v>20150527</v>
      </c>
      <c r="X1616" t="s">
        <v>436</v>
      </c>
      <c r="Y1616" t="s">
        <v>886</v>
      </c>
      <c r="Z1616" t="s">
        <v>886</v>
      </c>
      <c r="AA1616">
        <v>0</v>
      </c>
      <c r="AB1616" t="s">
        <v>142</v>
      </c>
      <c r="AC1616" t="s">
        <v>143</v>
      </c>
      <c r="AD1616" t="s">
        <v>40</v>
      </c>
      <c r="AE1616" t="str">
        <f t="shared" si="493"/>
        <v>05</v>
      </c>
      <c r="AF1616" t="s">
        <v>40</v>
      </c>
    </row>
    <row r="1617" spans="1:32" x14ac:dyDescent="0.25">
      <c r="A1617">
        <v>5</v>
      </c>
      <c r="B1617">
        <v>420</v>
      </c>
      <c r="C1617" t="str">
        <f>"51"</f>
        <v>51</v>
      </c>
      <c r="D1617">
        <v>6269</v>
      </c>
      <c r="E1617" t="str">
        <f t="shared" si="489"/>
        <v>00</v>
      </c>
      <c r="F1617" t="str">
        <f t="shared" si="494"/>
        <v>999</v>
      </c>
      <c r="G1617">
        <v>5</v>
      </c>
      <c r="H1617" t="str">
        <f t="shared" si="495"/>
        <v>99</v>
      </c>
      <c r="I1617" t="str">
        <f t="shared" si="490"/>
        <v>0</v>
      </c>
      <c r="J1617" t="str">
        <f t="shared" si="491"/>
        <v>00</v>
      </c>
      <c r="K1617">
        <v>20150527</v>
      </c>
      <c r="L1617" t="str">
        <f>"015011"</f>
        <v>015011</v>
      </c>
      <c r="M1617" t="str">
        <f>"00035"</f>
        <v>00035</v>
      </c>
      <c r="N1617" t="s">
        <v>698</v>
      </c>
      <c r="O1617">
        <v>301.52</v>
      </c>
      <c r="Q1617" t="s">
        <v>33</v>
      </c>
      <c r="R1617" t="s">
        <v>34</v>
      </c>
      <c r="S1617" t="s">
        <v>35</v>
      </c>
      <c r="T1617" t="s">
        <v>35</v>
      </c>
      <c r="U1617" t="s">
        <v>34</v>
      </c>
      <c r="V1617" t="str">
        <f>""</f>
        <v/>
      </c>
      <c r="W1617">
        <v>20150527</v>
      </c>
      <c r="X1617" t="s">
        <v>225</v>
      </c>
      <c r="Y1617" t="s">
        <v>549</v>
      </c>
      <c r="Z1617" t="s">
        <v>549</v>
      </c>
      <c r="AA1617">
        <v>0</v>
      </c>
      <c r="AB1617" t="s">
        <v>142</v>
      </c>
      <c r="AC1617" t="s">
        <v>143</v>
      </c>
      <c r="AD1617" t="s">
        <v>40</v>
      </c>
      <c r="AE1617" t="str">
        <f t="shared" si="493"/>
        <v>05</v>
      </c>
      <c r="AF1617" t="s">
        <v>40</v>
      </c>
    </row>
    <row r="1618" spans="1:32" x14ac:dyDescent="0.25">
      <c r="A1618">
        <v>5</v>
      </c>
      <c r="B1618">
        <v>211</v>
      </c>
      <c r="C1618" t="str">
        <f>"11"</f>
        <v>11</v>
      </c>
      <c r="D1618">
        <v>6399</v>
      </c>
      <c r="E1618" t="str">
        <f t="shared" si="489"/>
        <v>00</v>
      </c>
      <c r="F1618" t="str">
        <f>"101"</f>
        <v>101</v>
      </c>
      <c r="G1618">
        <v>5</v>
      </c>
      <c r="H1618" t="str">
        <f>"30"</f>
        <v>30</v>
      </c>
      <c r="I1618" t="str">
        <f t="shared" si="490"/>
        <v>0</v>
      </c>
      <c r="J1618" t="str">
        <f>"28"</f>
        <v>28</v>
      </c>
      <c r="K1618">
        <v>20150527</v>
      </c>
      <c r="L1618" t="str">
        <f>"015012"</f>
        <v>015012</v>
      </c>
      <c r="M1618" t="str">
        <f>"00765"</f>
        <v>00765</v>
      </c>
      <c r="N1618" t="s">
        <v>887</v>
      </c>
      <c r="O1618" s="1">
        <v>2587.1999999999998</v>
      </c>
      <c r="Q1618" t="s">
        <v>33</v>
      </c>
      <c r="R1618" t="s">
        <v>34</v>
      </c>
      <c r="S1618" t="s">
        <v>35</v>
      </c>
      <c r="T1618" t="s">
        <v>35</v>
      </c>
      <c r="U1618" t="s">
        <v>34</v>
      </c>
      <c r="V1618" t="str">
        <f>""</f>
        <v/>
      </c>
      <c r="W1618">
        <v>20150527</v>
      </c>
      <c r="X1618" t="s">
        <v>690</v>
      </c>
      <c r="Y1618" t="s">
        <v>888</v>
      </c>
      <c r="Z1618" t="s">
        <v>888</v>
      </c>
      <c r="AA1618">
        <v>0</v>
      </c>
      <c r="AB1618" t="s">
        <v>174</v>
      </c>
      <c r="AC1618" t="s">
        <v>41</v>
      </c>
      <c r="AD1618" t="s">
        <v>40</v>
      </c>
      <c r="AE1618" t="str">
        <f t="shared" si="493"/>
        <v>05</v>
      </c>
      <c r="AF1618" t="s">
        <v>40</v>
      </c>
    </row>
    <row r="1619" spans="1:32" x14ac:dyDescent="0.25">
      <c r="A1619">
        <v>5</v>
      </c>
      <c r="B1619">
        <v>240</v>
      </c>
      <c r="C1619" t="str">
        <f>"35"</f>
        <v>35</v>
      </c>
      <c r="D1619">
        <v>6299</v>
      </c>
      <c r="E1619" t="str">
        <f t="shared" si="489"/>
        <v>00</v>
      </c>
      <c r="F1619" t="str">
        <f t="shared" ref="F1619:F1624" si="496">"999"</f>
        <v>999</v>
      </c>
      <c r="G1619">
        <v>5</v>
      </c>
      <c r="H1619" t="str">
        <f>"99"</f>
        <v>99</v>
      </c>
      <c r="I1619" t="str">
        <f t="shared" si="490"/>
        <v>0</v>
      </c>
      <c r="J1619" t="str">
        <f t="shared" ref="J1619:J1628" si="497">"00"</f>
        <v>00</v>
      </c>
      <c r="K1619">
        <v>20150527</v>
      </c>
      <c r="L1619" t="str">
        <f>"015013"</f>
        <v>015013</v>
      </c>
      <c r="M1619" t="str">
        <f>"00648"</f>
        <v>00648</v>
      </c>
      <c r="N1619" t="s">
        <v>889</v>
      </c>
      <c r="O1619">
        <v>79.2</v>
      </c>
      <c r="Q1619" t="s">
        <v>33</v>
      </c>
      <c r="R1619" t="s">
        <v>34</v>
      </c>
      <c r="S1619" t="s">
        <v>35</v>
      </c>
      <c r="T1619" t="s">
        <v>35</v>
      </c>
      <c r="U1619" t="s">
        <v>34</v>
      </c>
      <c r="V1619" t="str">
        <f>""</f>
        <v/>
      </c>
      <c r="W1619">
        <v>20150526</v>
      </c>
      <c r="X1619" t="s">
        <v>252</v>
      </c>
      <c r="Y1619" t="s">
        <v>573</v>
      </c>
      <c r="Z1619" t="s">
        <v>573</v>
      </c>
      <c r="AA1619">
        <v>0</v>
      </c>
      <c r="AB1619" t="s">
        <v>238</v>
      </c>
      <c r="AC1619" t="s">
        <v>143</v>
      </c>
      <c r="AD1619" t="s">
        <v>40</v>
      </c>
      <c r="AE1619" t="str">
        <f t="shared" si="493"/>
        <v>05</v>
      </c>
      <c r="AF1619" t="s">
        <v>40</v>
      </c>
    </row>
    <row r="1620" spans="1:32" x14ac:dyDescent="0.25">
      <c r="A1620">
        <v>5</v>
      </c>
      <c r="B1620">
        <v>420</v>
      </c>
      <c r="C1620" t="str">
        <f>"11"</f>
        <v>11</v>
      </c>
      <c r="D1620">
        <v>6269</v>
      </c>
      <c r="E1620" t="str">
        <f t="shared" si="489"/>
        <v>00</v>
      </c>
      <c r="F1620" t="str">
        <f t="shared" si="496"/>
        <v>999</v>
      </c>
      <c r="G1620">
        <v>5</v>
      </c>
      <c r="H1620" t="str">
        <f>"11"</f>
        <v>11</v>
      </c>
      <c r="I1620" t="str">
        <f t="shared" si="490"/>
        <v>0</v>
      </c>
      <c r="J1620" t="str">
        <f t="shared" si="497"/>
        <v>00</v>
      </c>
      <c r="K1620">
        <v>20150527</v>
      </c>
      <c r="L1620" t="str">
        <f>"015014"</f>
        <v>015014</v>
      </c>
      <c r="M1620" t="str">
        <f>"00622"</f>
        <v>00622</v>
      </c>
      <c r="N1620" t="s">
        <v>318</v>
      </c>
      <c r="O1620">
        <v>204.4</v>
      </c>
      <c r="Q1620" t="s">
        <v>33</v>
      </c>
      <c r="R1620" t="s">
        <v>34</v>
      </c>
      <c r="S1620" t="s">
        <v>35</v>
      </c>
      <c r="T1620" t="s">
        <v>35</v>
      </c>
      <c r="U1620" t="s">
        <v>34</v>
      </c>
      <c r="V1620" t="str">
        <f>""</f>
        <v/>
      </c>
      <c r="W1620">
        <v>20150527</v>
      </c>
      <c r="X1620" t="s">
        <v>213</v>
      </c>
      <c r="Y1620" t="s">
        <v>549</v>
      </c>
      <c r="Z1620" t="s">
        <v>549</v>
      </c>
      <c r="AA1620">
        <v>0</v>
      </c>
      <c r="AB1620" t="s">
        <v>142</v>
      </c>
      <c r="AC1620" t="s">
        <v>143</v>
      </c>
      <c r="AD1620" t="s">
        <v>40</v>
      </c>
      <c r="AE1620" t="str">
        <f t="shared" si="493"/>
        <v>05</v>
      </c>
      <c r="AF1620" t="s">
        <v>40</v>
      </c>
    </row>
    <row r="1621" spans="1:32" x14ac:dyDescent="0.25">
      <c r="A1621">
        <v>5</v>
      </c>
      <c r="B1621">
        <v>420</v>
      </c>
      <c r="C1621" t="str">
        <f>"51"</f>
        <v>51</v>
      </c>
      <c r="D1621">
        <v>6259</v>
      </c>
      <c r="E1621" t="str">
        <f>"53"</f>
        <v>53</v>
      </c>
      <c r="F1621" t="str">
        <f t="shared" si="496"/>
        <v>999</v>
      </c>
      <c r="G1621">
        <v>5</v>
      </c>
      <c r="H1621" t="str">
        <f>"99"</f>
        <v>99</v>
      </c>
      <c r="I1621" t="str">
        <f t="shared" si="490"/>
        <v>0</v>
      </c>
      <c r="J1621" t="str">
        <f t="shared" si="497"/>
        <v>00</v>
      </c>
      <c r="K1621">
        <v>20150527</v>
      </c>
      <c r="L1621" t="str">
        <f>"015015"</f>
        <v>015015</v>
      </c>
      <c r="M1621" t="str">
        <f>"00726"</f>
        <v>00726</v>
      </c>
      <c r="N1621" t="s">
        <v>227</v>
      </c>
      <c r="O1621">
        <v>809.39</v>
      </c>
      <c r="Q1621" t="s">
        <v>33</v>
      </c>
      <c r="R1621" t="s">
        <v>34</v>
      </c>
      <c r="S1621" t="s">
        <v>35</v>
      </c>
      <c r="T1621" t="s">
        <v>35</v>
      </c>
      <c r="U1621" t="s">
        <v>34</v>
      </c>
      <c r="V1621" t="str">
        <f>""</f>
        <v/>
      </c>
      <c r="W1621">
        <v>20150527</v>
      </c>
      <c r="X1621" t="s">
        <v>228</v>
      </c>
      <c r="Y1621" t="s">
        <v>621</v>
      </c>
      <c r="Z1621" t="s">
        <v>621</v>
      </c>
      <c r="AA1621">
        <v>0</v>
      </c>
      <c r="AB1621" t="s">
        <v>142</v>
      </c>
      <c r="AC1621" t="s">
        <v>143</v>
      </c>
      <c r="AD1621" t="s">
        <v>40</v>
      </c>
      <c r="AE1621" t="str">
        <f t="shared" si="493"/>
        <v>05</v>
      </c>
      <c r="AF1621" t="s">
        <v>40</v>
      </c>
    </row>
    <row r="1622" spans="1:32" x14ac:dyDescent="0.25">
      <c r="A1622">
        <v>5</v>
      </c>
      <c r="B1622">
        <v>420</v>
      </c>
      <c r="C1622" t="str">
        <f>"51"</f>
        <v>51</v>
      </c>
      <c r="D1622">
        <v>6259</v>
      </c>
      <c r="E1622" t="str">
        <f>"53"</f>
        <v>53</v>
      </c>
      <c r="F1622" t="str">
        <f t="shared" si="496"/>
        <v>999</v>
      </c>
      <c r="G1622">
        <v>5</v>
      </c>
      <c r="H1622" t="str">
        <f>"99"</f>
        <v>99</v>
      </c>
      <c r="I1622" t="str">
        <f t="shared" si="490"/>
        <v>0</v>
      </c>
      <c r="J1622" t="str">
        <f t="shared" si="497"/>
        <v>00</v>
      </c>
      <c r="K1622">
        <v>20150527</v>
      </c>
      <c r="L1622" t="str">
        <f>"015015"</f>
        <v>015015</v>
      </c>
      <c r="M1622" t="str">
        <f>"00726"</f>
        <v>00726</v>
      </c>
      <c r="N1622" t="s">
        <v>227</v>
      </c>
      <c r="O1622" s="1">
        <v>1798.3</v>
      </c>
      <c r="Q1622" t="s">
        <v>33</v>
      </c>
      <c r="R1622" t="s">
        <v>34</v>
      </c>
      <c r="S1622" t="s">
        <v>35</v>
      </c>
      <c r="T1622" t="s">
        <v>35</v>
      </c>
      <c r="U1622" t="s">
        <v>34</v>
      </c>
      <c r="V1622" t="str">
        <f>""</f>
        <v/>
      </c>
      <c r="W1622">
        <v>20150527</v>
      </c>
      <c r="X1622" t="s">
        <v>228</v>
      </c>
      <c r="Y1622" t="s">
        <v>621</v>
      </c>
      <c r="Z1622" t="s">
        <v>621</v>
      </c>
      <c r="AA1622">
        <v>0</v>
      </c>
      <c r="AB1622" t="s">
        <v>142</v>
      </c>
      <c r="AC1622" t="s">
        <v>143</v>
      </c>
      <c r="AD1622" t="s">
        <v>40</v>
      </c>
      <c r="AE1622" t="str">
        <f t="shared" si="493"/>
        <v>05</v>
      </c>
      <c r="AF1622" t="s">
        <v>40</v>
      </c>
    </row>
    <row r="1623" spans="1:32" x14ac:dyDescent="0.25">
      <c r="A1623">
        <v>5</v>
      </c>
      <c r="B1623">
        <v>420</v>
      </c>
      <c r="C1623" t="str">
        <f>"51"</f>
        <v>51</v>
      </c>
      <c r="D1623">
        <v>6259</v>
      </c>
      <c r="E1623" t="str">
        <f>"53"</f>
        <v>53</v>
      </c>
      <c r="F1623" t="str">
        <f t="shared" si="496"/>
        <v>999</v>
      </c>
      <c r="G1623">
        <v>5</v>
      </c>
      <c r="H1623" t="str">
        <f>"99"</f>
        <v>99</v>
      </c>
      <c r="I1623" t="str">
        <f t="shared" si="490"/>
        <v>0</v>
      </c>
      <c r="J1623" t="str">
        <f t="shared" si="497"/>
        <v>00</v>
      </c>
      <c r="K1623">
        <v>20150527</v>
      </c>
      <c r="L1623" t="str">
        <f>"015015"</f>
        <v>015015</v>
      </c>
      <c r="M1623" t="str">
        <f>"00726"</f>
        <v>00726</v>
      </c>
      <c r="N1623" t="s">
        <v>227</v>
      </c>
      <c r="O1623">
        <v>823.37</v>
      </c>
      <c r="Q1623" t="s">
        <v>33</v>
      </c>
      <c r="R1623" t="s">
        <v>34</v>
      </c>
      <c r="S1623" t="s">
        <v>35</v>
      </c>
      <c r="T1623" t="s">
        <v>35</v>
      </c>
      <c r="U1623" t="s">
        <v>34</v>
      </c>
      <c r="V1623" t="str">
        <f>""</f>
        <v/>
      </c>
      <c r="W1623">
        <v>20150527</v>
      </c>
      <c r="X1623" t="s">
        <v>228</v>
      </c>
      <c r="Y1623" t="s">
        <v>621</v>
      </c>
      <c r="Z1623" t="s">
        <v>621</v>
      </c>
      <c r="AA1623">
        <v>0</v>
      </c>
      <c r="AB1623" t="s">
        <v>142</v>
      </c>
      <c r="AC1623" t="s">
        <v>143</v>
      </c>
      <c r="AD1623" t="s">
        <v>40</v>
      </c>
      <c r="AE1623" t="str">
        <f t="shared" si="493"/>
        <v>05</v>
      </c>
      <c r="AF1623" t="s">
        <v>40</v>
      </c>
    </row>
    <row r="1624" spans="1:32" x14ac:dyDescent="0.25">
      <c r="A1624">
        <v>5</v>
      </c>
      <c r="B1624">
        <v>420</v>
      </c>
      <c r="C1624" t="str">
        <f>"51"</f>
        <v>51</v>
      </c>
      <c r="D1624">
        <v>6259</v>
      </c>
      <c r="E1624" t="str">
        <f>"53"</f>
        <v>53</v>
      </c>
      <c r="F1624" t="str">
        <f t="shared" si="496"/>
        <v>999</v>
      </c>
      <c r="G1624">
        <v>5</v>
      </c>
      <c r="H1624" t="str">
        <f>"99"</f>
        <v>99</v>
      </c>
      <c r="I1624" t="str">
        <f t="shared" si="490"/>
        <v>0</v>
      </c>
      <c r="J1624" t="str">
        <f t="shared" si="497"/>
        <v>00</v>
      </c>
      <c r="K1624">
        <v>20150527</v>
      </c>
      <c r="L1624" t="str">
        <f>"015015"</f>
        <v>015015</v>
      </c>
      <c r="M1624" t="str">
        <f>"00726"</f>
        <v>00726</v>
      </c>
      <c r="N1624" t="s">
        <v>227</v>
      </c>
      <c r="O1624" s="1">
        <v>2152.5700000000002</v>
      </c>
      <c r="Q1624" t="s">
        <v>33</v>
      </c>
      <c r="R1624" t="s">
        <v>34</v>
      </c>
      <c r="S1624" t="s">
        <v>35</v>
      </c>
      <c r="T1624" t="s">
        <v>35</v>
      </c>
      <c r="U1624" t="s">
        <v>34</v>
      </c>
      <c r="V1624" t="str">
        <f>""</f>
        <v/>
      </c>
      <c r="W1624">
        <v>20150527</v>
      </c>
      <c r="X1624" t="s">
        <v>228</v>
      </c>
      <c r="Y1624" t="s">
        <v>621</v>
      </c>
      <c r="Z1624" t="s">
        <v>621</v>
      </c>
      <c r="AA1624">
        <v>0</v>
      </c>
      <c r="AB1624" t="s">
        <v>142</v>
      </c>
      <c r="AC1624" t="s">
        <v>143</v>
      </c>
      <c r="AD1624" t="s">
        <v>40</v>
      </c>
      <c r="AE1624" t="str">
        <f t="shared" si="493"/>
        <v>05</v>
      </c>
      <c r="AF1624" t="s">
        <v>40</v>
      </c>
    </row>
    <row r="1625" spans="1:32" x14ac:dyDescent="0.25">
      <c r="A1625">
        <v>5</v>
      </c>
      <c r="B1625">
        <v>420</v>
      </c>
      <c r="C1625" t="str">
        <f>"36"</f>
        <v>36</v>
      </c>
      <c r="D1625">
        <v>6399</v>
      </c>
      <c r="E1625" t="str">
        <f>"00"</f>
        <v>00</v>
      </c>
      <c r="F1625" t="str">
        <f>"001"</f>
        <v>001</v>
      </c>
      <c r="G1625">
        <v>5</v>
      </c>
      <c r="H1625" t="str">
        <f>"91"</f>
        <v>91</v>
      </c>
      <c r="I1625" t="str">
        <f t="shared" si="490"/>
        <v>0</v>
      </c>
      <c r="J1625" t="str">
        <f t="shared" si="497"/>
        <v>00</v>
      </c>
      <c r="K1625">
        <v>20150527</v>
      </c>
      <c r="L1625" t="str">
        <f>"015016"</f>
        <v>015016</v>
      </c>
      <c r="M1625" t="str">
        <f>"00846"</f>
        <v>00846</v>
      </c>
      <c r="N1625" t="s">
        <v>890</v>
      </c>
      <c r="O1625">
        <v>250</v>
      </c>
      <c r="Q1625" t="s">
        <v>33</v>
      </c>
      <c r="R1625" t="s">
        <v>34</v>
      </c>
      <c r="S1625" t="s">
        <v>35</v>
      </c>
      <c r="T1625" t="s">
        <v>35</v>
      </c>
      <c r="U1625" t="s">
        <v>34</v>
      </c>
      <c r="V1625" t="str">
        <f>""</f>
        <v/>
      </c>
      <c r="W1625">
        <v>20150526</v>
      </c>
      <c r="X1625" t="s">
        <v>599</v>
      </c>
      <c r="Y1625" t="s">
        <v>891</v>
      </c>
      <c r="Z1625" t="s">
        <v>891</v>
      </c>
      <c r="AA1625">
        <v>0</v>
      </c>
      <c r="AB1625" t="s">
        <v>142</v>
      </c>
      <c r="AC1625" t="s">
        <v>41</v>
      </c>
      <c r="AD1625" t="s">
        <v>40</v>
      </c>
      <c r="AE1625" t="str">
        <f t="shared" si="493"/>
        <v>05</v>
      </c>
      <c r="AF1625" t="s">
        <v>40</v>
      </c>
    </row>
    <row r="1626" spans="1:32" x14ac:dyDescent="0.25">
      <c r="A1626">
        <v>5</v>
      </c>
      <c r="B1626">
        <v>420</v>
      </c>
      <c r="C1626" t="str">
        <f>"51"</f>
        <v>51</v>
      </c>
      <c r="D1626">
        <v>6259</v>
      </c>
      <c r="E1626" t="str">
        <f>"55"</f>
        <v>55</v>
      </c>
      <c r="F1626" t="str">
        <f>"999"</f>
        <v>999</v>
      </c>
      <c r="G1626">
        <v>5</v>
      </c>
      <c r="H1626" t="str">
        <f>"99"</f>
        <v>99</v>
      </c>
      <c r="I1626" t="str">
        <f t="shared" si="490"/>
        <v>0</v>
      </c>
      <c r="J1626" t="str">
        <f t="shared" si="497"/>
        <v>00</v>
      </c>
      <c r="K1626">
        <v>20150527</v>
      </c>
      <c r="L1626" t="str">
        <f>"015017"</f>
        <v>015017</v>
      </c>
      <c r="M1626" t="str">
        <f>"00306"</f>
        <v>00306</v>
      </c>
      <c r="N1626" t="s">
        <v>754</v>
      </c>
      <c r="O1626">
        <v>55.21</v>
      </c>
      <c r="Q1626" t="s">
        <v>33</v>
      </c>
      <c r="R1626" t="s">
        <v>34</v>
      </c>
      <c r="S1626" t="s">
        <v>35</v>
      </c>
      <c r="T1626" t="s">
        <v>35</v>
      </c>
      <c r="U1626" t="s">
        <v>34</v>
      </c>
      <c r="V1626" t="str">
        <f>""</f>
        <v/>
      </c>
      <c r="W1626">
        <v>20150527</v>
      </c>
      <c r="X1626" t="s">
        <v>243</v>
      </c>
      <c r="Y1626" t="s">
        <v>244</v>
      </c>
      <c r="Z1626" t="s">
        <v>244</v>
      </c>
      <c r="AA1626">
        <v>0</v>
      </c>
      <c r="AB1626" t="s">
        <v>142</v>
      </c>
      <c r="AC1626" t="s">
        <v>143</v>
      </c>
      <c r="AD1626" t="s">
        <v>40</v>
      </c>
      <c r="AE1626" t="str">
        <f t="shared" si="493"/>
        <v>05</v>
      </c>
      <c r="AF1626" t="s">
        <v>40</v>
      </c>
    </row>
    <row r="1627" spans="1:32" x14ac:dyDescent="0.25">
      <c r="A1627">
        <v>5</v>
      </c>
      <c r="B1627">
        <v>420</v>
      </c>
      <c r="C1627" t="str">
        <f>"51"</f>
        <v>51</v>
      </c>
      <c r="D1627">
        <v>6259</v>
      </c>
      <c r="E1627" t="str">
        <f>"55"</f>
        <v>55</v>
      </c>
      <c r="F1627" t="str">
        <f>"999"</f>
        <v>999</v>
      </c>
      <c r="G1627">
        <v>5</v>
      </c>
      <c r="H1627" t="str">
        <f>"99"</f>
        <v>99</v>
      </c>
      <c r="I1627" t="str">
        <f t="shared" si="490"/>
        <v>0</v>
      </c>
      <c r="J1627" t="str">
        <f t="shared" si="497"/>
        <v>00</v>
      </c>
      <c r="K1627">
        <v>20150527</v>
      </c>
      <c r="L1627" t="str">
        <f>"015017"</f>
        <v>015017</v>
      </c>
      <c r="M1627" t="str">
        <f>"00306"</f>
        <v>00306</v>
      </c>
      <c r="N1627" t="s">
        <v>754</v>
      </c>
      <c r="O1627">
        <v>207.05</v>
      </c>
      <c r="Q1627" t="s">
        <v>33</v>
      </c>
      <c r="R1627" t="s">
        <v>34</v>
      </c>
      <c r="S1627" t="s">
        <v>35</v>
      </c>
      <c r="T1627" t="s">
        <v>35</v>
      </c>
      <c r="U1627" t="s">
        <v>34</v>
      </c>
      <c r="V1627" t="str">
        <f>""</f>
        <v/>
      </c>
      <c r="W1627">
        <v>20150527</v>
      </c>
      <c r="X1627" t="s">
        <v>243</v>
      </c>
      <c r="Y1627" t="s">
        <v>244</v>
      </c>
      <c r="Z1627" t="s">
        <v>244</v>
      </c>
      <c r="AA1627">
        <v>0</v>
      </c>
      <c r="AB1627" t="s">
        <v>142</v>
      </c>
      <c r="AC1627" t="s">
        <v>143</v>
      </c>
      <c r="AD1627" t="s">
        <v>40</v>
      </c>
      <c r="AE1627" t="str">
        <f t="shared" si="493"/>
        <v>05</v>
      </c>
      <c r="AF1627" t="s">
        <v>40</v>
      </c>
    </row>
    <row r="1628" spans="1:32" x14ac:dyDescent="0.25">
      <c r="A1628">
        <v>5</v>
      </c>
      <c r="B1628">
        <v>420</v>
      </c>
      <c r="C1628" t="str">
        <f>"51"</f>
        <v>51</v>
      </c>
      <c r="D1628">
        <v>6259</v>
      </c>
      <c r="E1628" t="str">
        <f>"55"</f>
        <v>55</v>
      </c>
      <c r="F1628" t="str">
        <f>"999"</f>
        <v>999</v>
      </c>
      <c r="G1628">
        <v>5</v>
      </c>
      <c r="H1628" t="str">
        <f>"99"</f>
        <v>99</v>
      </c>
      <c r="I1628" t="str">
        <f t="shared" si="490"/>
        <v>0</v>
      </c>
      <c r="J1628" t="str">
        <f t="shared" si="497"/>
        <v>00</v>
      </c>
      <c r="K1628">
        <v>20150527</v>
      </c>
      <c r="L1628" t="str">
        <f>"015017"</f>
        <v>015017</v>
      </c>
      <c r="M1628" t="str">
        <f>"00306"</f>
        <v>00306</v>
      </c>
      <c r="N1628" t="s">
        <v>754</v>
      </c>
      <c r="O1628">
        <v>41.07</v>
      </c>
      <c r="Q1628" t="s">
        <v>33</v>
      </c>
      <c r="R1628" t="s">
        <v>34</v>
      </c>
      <c r="S1628" t="s">
        <v>35</v>
      </c>
      <c r="T1628" t="s">
        <v>35</v>
      </c>
      <c r="U1628" t="s">
        <v>34</v>
      </c>
      <c r="V1628" t="str">
        <f>""</f>
        <v/>
      </c>
      <c r="W1628">
        <v>20150527</v>
      </c>
      <c r="X1628" t="s">
        <v>243</v>
      </c>
      <c r="Y1628" t="s">
        <v>244</v>
      </c>
      <c r="Z1628" t="s">
        <v>244</v>
      </c>
      <c r="AA1628">
        <v>0</v>
      </c>
      <c r="AB1628" t="s">
        <v>142</v>
      </c>
      <c r="AC1628" t="s">
        <v>143</v>
      </c>
      <c r="AD1628" t="s">
        <v>40</v>
      </c>
      <c r="AE1628" t="str">
        <f t="shared" si="493"/>
        <v>05</v>
      </c>
      <c r="AF1628" t="s">
        <v>40</v>
      </c>
    </row>
    <row r="1629" spans="1:32" x14ac:dyDescent="0.25">
      <c r="A1629">
        <v>5</v>
      </c>
      <c r="B1629">
        <v>211</v>
      </c>
      <c r="C1629" t="str">
        <f>"11"</f>
        <v>11</v>
      </c>
      <c r="D1629">
        <v>6399</v>
      </c>
      <c r="E1629" t="str">
        <f t="shared" ref="E1629:E1652" si="498">"00"</f>
        <v>00</v>
      </c>
      <c r="F1629" t="str">
        <f>"101"</f>
        <v>101</v>
      </c>
      <c r="G1629">
        <v>5</v>
      </c>
      <c r="H1629" t="str">
        <f>"30"</f>
        <v>30</v>
      </c>
      <c r="I1629" t="str">
        <f t="shared" si="490"/>
        <v>0</v>
      </c>
      <c r="J1629" t="str">
        <f>"28"</f>
        <v>28</v>
      </c>
      <c r="K1629">
        <v>20150527</v>
      </c>
      <c r="L1629" t="str">
        <f>"015018"</f>
        <v>015018</v>
      </c>
      <c r="M1629" t="str">
        <f>"00310"</f>
        <v>00310</v>
      </c>
      <c r="N1629" t="s">
        <v>589</v>
      </c>
      <c r="O1629">
        <v>219.92</v>
      </c>
      <c r="Q1629" t="s">
        <v>33</v>
      </c>
      <c r="R1629" t="s">
        <v>34</v>
      </c>
      <c r="S1629" t="s">
        <v>35</v>
      </c>
      <c r="T1629" t="s">
        <v>35</v>
      </c>
      <c r="U1629" t="s">
        <v>34</v>
      </c>
      <c r="V1629" t="str">
        <f>""</f>
        <v/>
      </c>
      <c r="W1629">
        <v>20150527</v>
      </c>
      <c r="X1629" t="s">
        <v>690</v>
      </c>
      <c r="Y1629" t="s">
        <v>892</v>
      </c>
      <c r="Z1629" t="s">
        <v>892</v>
      </c>
      <c r="AA1629">
        <v>0</v>
      </c>
      <c r="AB1629" t="s">
        <v>174</v>
      </c>
      <c r="AC1629" t="s">
        <v>41</v>
      </c>
      <c r="AD1629" t="s">
        <v>40</v>
      </c>
      <c r="AE1629" t="str">
        <f t="shared" si="493"/>
        <v>05</v>
      </c>
      <c r="AF1629" t="s">
        <v>40</v>
      </c>
    </row>
    <row r="1630" spans="1:32" x14ac:dyDescent="0.25">
      <c r="A1630">
        <v>5</v>
      </c>
      <c r="B1630">
        <v>240</v>
      </c>
      <c r="C1630" t="str">
        <f t="shared" ref="C1630:C1637" si="499">"35"</f>
        <v>35</v>
      </c>
      <c r="D1630">
        <v>6341</v>
      </c>
      <c r="E1630" t="str">
        <f t="shared" si="498"/>
        <v>00</v>
      </c>
      <c r="F1630" t="str">
        <f t="shared" ref="F1630:F1639" si="500">"999"</f>
        <v>999</v>
      </c>
      <c r="G1630">
        <v>5</v>
      </c>
      <c r="H1630" t="str">
        <f t="shared" ref="H1630:H1640" si="501">"99"</f>
        <v>99</v>
      </c>
      <c r="I1630" t="str">
        <f t="shared" si="490"/>
        <v>0</v>
      </c>
      <c r="J1630" t="str">
        <f t="shared" ref="J1630:J1661" si="502">"00"</f>
        <v>00</v>
      </c>
      <c r="K1630">
        <v>20150527</v>
      </c>
      <c r="L1630" t="str">
        <f t="shared" ref="L1630:L1636" si="503">"015019"</f>
        <v>015019</v>
      </c>
      <c r="M1630" t="str">
        <f t="shared" ref="M1630:M1636" si="504">"00391"</f>
        <v>00391</v>
      </c>
      <c r="N1630" t="s">
        <v>857</v>
      </c>
      <c r="O1630" s="1">
        <v>2306.42</v>
      </c>
      <c r="Q1630" t="s">
        <v>33</v>
      </c>
      <c r="R1630" t="s">
        <v>34</v>
      </c>
      <c r="S1630" t="s">
        <v>35</v>
      </c>
      <c r="T1630" t="s">
        <v>35</v>
      </c>
      <c r="U1630" t="s">
        <v>34</v>
      </c>
      <c r="V1630" t="str">
        <f>""</f>
        <v/>
      </c>
      <c r="W1630">
        <v>20150526</v>
      </c>
      <c r="X1630" t="s">
        <v>268</v>
      </c>
      <c r="Y1630" t="s">
        <v>573</v>
      </c>
      <c r="Z1630" t="s">
        <v>573</v>
      </c>
      <c r="AA1630">
        <v>0</v>
      </c>
      <c r="AB1630" t="s">
        <v>238</v>
      </c>
      <c r="AC1630" t="s">
        <v>143</v>
      </c>
      <c r="AD1630" t="s">
        <v>40</v>
      </c>
      <c r="AE1630" t="str">
        <f t="shared" si="493"/>
        <v>05</v>
      </c>
      <c r="AF1630" t="s">
        <v>40</v>
      </c>
    </row>
    <row r="1631" spans="1:32" x14ac:dyDescent="0.25">
      <c r="A1631">
        <v>5</v>
      </c>
      <c r="B1631">
        <v>240</v>
      </c>
      <c r="C1631" t="str">
        <f t="shared" si="499"/>
        <v>35</v>
      </c>
      <c r="D1631">
        <v>6341</v>
      </c>
      <c r="E1631" t="str">
        <f t="shared" si="498"/>
        <v>00</v>
      </c>
      <c r="F1631" t="str">
        <f t="shared" si="500"/>
        <v>999</v>
      </c>
      <c r="G1631">
        <v>5</v>
      </c>
      <c r="H1631" t="str">
        <f t="shared" si="501"/>
        <v>99</v>
      </c>
      <c r="I1631" t="str">
        <f t="shared" si="490"/>
        <v>0</v>
      </c>
      <c r="J1631" t="str">
        <f t="shared" si="502"/>
        <v>00</v>
      </c>
      <c r="K1631">
        <v>20150527</v>
      </c>
      <c r="L1631" t="str">
        <f t="shared" si="503"/>
        <v>015019</v>
      </c>
      <c r="M1631" t="str">
        <f t="shared" si="504"/>
        <v>00391</v>
      </c>
      <c r="N1631" t="s">
        <v>857</v>
      </c>
      <c r="O1631">
        <v>312.16000000000003</v>
      </c>
      <c r="Q1631" t="s">
        <v>33</v>
      </c>
      <c r="R1631" t="s">
        <v>34</v>
      </c>
      <c r="S1631" t="s">
        <v>35</v>
      </c>
      <c r="T1631" t="s">
        <v>35</v>
      </c>
      <c r="U1631" t="s">
        <v>34</v>
      </c>
      <c r="V1631" t="str">
        <f>""</f>
        <v/>
      </c>
      <c r="W1631">
        <v>20150526</v>
      </c>
      <c r="X1631" t="s">
        <v>268</v>
      </c>
      <c r="Y1631" t="s">
        <v>573</v>
      </c>
      <c r="Z1631" t="s">
        <v>573</v>
      </c>
      <c r="AA1631">
        <v>0</v>
      </c>
      <c r="AB1631" t="s">
        <v>238</v>
      </c>
      <c r="AC1631" t="s">
        <v>143</v>
      </c>
      <c r="AD1631" t="s">
        <v>40</v>
      </c>
      <c r="AE1631" t="str">
        <f t="shared" si="493"/>
        <v>05</v>
      </c>
      <c r="AF1631" t="s">
        <v>40</v>
      </c>
    </row>
    <row r="1632" spans="1:32" x14ac:dyDescent="0.25">
      <c r="A1632">
        <v>5</v>
      </c>
      <c r="B1632">
        <v>240</v>
      </c>
      <c r="C1632" t="str">
        <f t="shared" si="499"/>
        <v>35</v>
      </c>
      <c r="D1632">
        <v>6341</v>
      </c>
      <c r="E1632" t="str">
        <f t="shared" si="498"/>
        <v>00</v>
      </c>
      <c r="F1632" t="str">
        <f t="shared" si="500"/>
        <v>999</v>
      </c>
      <c r="G1632">
        <v>5</v>
      </c>
      <c r="H1632" t="str">
        <f t="shared" si="501"/>
        <v>99</v>
      </c>
      <c r="I1632" t="str">
        <f t="shared" si="490"/>
        <v>0</v>
      </c>
      <c r="J1632" t="str">
        <f t="shared" si="502"/>
        <v>00</v>
      </c>
      <c r="K1632">
        <v>20150527</v>
      </c>
      <c r="L1632" t="str">
        <f t="shared" si="503"/>
        <v>015019</v>
      </c>
      <c r="M1632" t="str">
        <f t="shared" si="504"/>
        <v>00391</v>
      </c>
      <c r="N1632" t="s">
        <v>857</v>
      </c>
      <c r="O1632" s="1">
        <v>1227.1500000000001</v>
      </c>
      <c r="Q1632" t="s">
        <v>33</v>
      </c>
      <c r="R1632" t="s">
        <v>34</v>
      </c>
      <c r="S1632" t="s">
        <v>35</v>
      </c>
      <c r="T1632" t="s">
        <v>35</v>
      </c>
      <c r="U1632" t="s">
        <v>34</v>
      </c>
      <c r="V1632" t="str">
        <f>""</f>
        <v/>
      </c>
      <c r="W1632">
        <v>20150526</v>
      </c>
      <c r="X1632" t="s">
        <v>268</v>
      </c>
      <c r="Y1632" t="s">
        <v>573</v>
      </c>
      <c r="Z1632" t="s">
        <v>573</v>
      </c>
      <c r="AA1632">
        <v>0</v>
      </c>
      <c r="AB1632" t="s">
        <v>238</v>
      </c>
      <c r="AC1632" t="s">
        <v>143</v>
      </c>
      <c r="AD1632" t="s">
        <v>40</v>
      </c>
      <c r="AE1632" t="str">
        <f t="shared" si="493"/>
        <v>05</v>
      </c>
      <c r="AF1632" t="s">
        <v>40</v>
      </c>
    </row>
    <row r="1633" spans="1:32" x14ac:dyDescent="0.25">
      <c r="A1633">
        <v>5</v>
      </c>
      <c r="B1633">
        <v>240</v>
      </c>
      <c r="C1633" t="str">
        <f t="shared" si="499"/>
        <v>35</v>
      </c>
      <c r="D1633">
        <v>6341</v>
      </c>
      <c r="E1633" t="str">
        <f t="shared" si="498"/>
        <v>00</v>
      </c>
      <c r="F1633" t="str">
        <f t="shared" si="500"/>
        <v>999</v>
      </c>
      <c r="G1633">
        <v>5</v>
      </c>
      <c r="H1633" t="str">
        <f t="shared" si="501"/>
        <v>99</v>
      </c>
      <c r="I1633" t="str">
        <f t="shared" si="490"/>
        <v>0</v>
      </c>
      <c r="J1633" t="str">
        <f t="shared" si="502"/>
        <v>00</v>
      </c>
      <c r="K1633">
        <v>20150527</v>
      </c>
      <c r="L1633" t="str">
        <f t="shared" si="503"/>
        <v>015019</v>
      </c>
      <c r="M1633" t="str">
        <f t="shared" si="504"/>
        <v>00391</v>
      </c>
      <c r="N1633" t="s">
        <v>857</v>
      </c>
      <c r="O1633">
        <v>230.36</v>
      </c>
      <c r="Q1633" t="s">
        <v>33</v>
      </c>
      <c r="R1633" t="s">
        <v>34</v>
      </c>
      <c r="S1633" t="s">
        <v>35</v>
      </c>
      <c r="T1633" t="s">
        <v>35</v>
      </c>
      <c r="U1633" t="s">
        <v>34</v>
      </c>
      <c r="V1633" t="str">
        <f>""</f>
        <v/>
      </c>
      <c r="W1633">
        <v>20150526</v>
      </c>
      <c r="X1633" t="s">
        <v>268</v>
      </c>
      <c r="Y1633" t="s">
        <v>573</v>
      </c>
      <c r="Z1633" t="s">
        <v>573</v>
      </c>
      <c r="AA1633">
        <v>0</v>
      </c>
      <c r="AB1633" t="s">
        <v>238</v>
      </c>
      <c r="AC1633" t="s">
        <v>143</v>
      </c>
      <c r="AD1633" t="s">
        <v>40</v>
      </c>
      <c r="AE1633" t="str">
        <f t="shared" si="493"/>
        <v>05</v>
      </c>
      <c r="AF1633" t="s">
        <v>40</v>
      </c>
    </row>
    <row r="1634" spans="1:32" x14ac:dyDescent="0.25">
      <c r="A1634">
        <v>5</v>
      </c>
      <c r="B1634">
        <v>240</v>
      </c>
      <c r="C1634" t="str">
        <f t="shared" si="499"/>
        <v>35</v>
      </c>
      <c r="D1634">
        <v>6342</v>
      </c>
      <c r="E1634" t="str">
        <f t="shared" si="498"/>
        <v>00</v>
      </c>
      <c r="F1634" t="str">
        <f t="shared" si="500"/>
        <v>999</v>
      </c>
      <c r="G1634">
        <v>5</v>
      </c>
      <c r="H1634" t="str">
        <f t="shared" si="501"/>
        <v>99</v>
      </c>
      <c r="I1634" t="str">
        <f t="shared" si="490"/>
        <v>0</v>
      </c>
      <c r="J1634" t="str">
        <f t="shared" si="502"/>
        <v>00</v>
      </c>
      <c r="K1634">
        <v>20150527</v>
      </c>
      <c r="L1634" t="str">
        <f t="shared" si="503"/>
        <v>015019</v>
      </c>
      <c r="M1634" t="str">
        <f t="shared" si="504"/>
        <v>00391</v>
      </c>
      <c r="N1634" t="s">
        <v>857</v>
      </c>
      <c r="O1634">
        <v>309.38</v>
      </c>
      <c r="Q1634" t="s">
        <v>33</v>
      </c>
      <c r="R1634" t="s">
        <v>34</v>
      </c>
      <c r="S1634" t="s">
        <v>35</v>
      </c>
      <c r="T1634" t="s">
        <v>35</v>
      </c>
      <c r="U1634" t="s">
        <v>34</v>
      </c>
      <c r="V1634" t="str">
        <f>""</f>
        <v/>
      </c>
      <c r="W1634">
        <v>20150526</v>
      </c>
      <c r="X1634" t="s">
        <v>269</v>
      </c>
      <c r="Y1634" t="s">
        <v>573</v>
      </c>
      <c r="Z1634" t="s">
        <v>573</v>
      </c>
      <c r="AA1634">
        <v>0</v>
      </c>
      <c r="AB1634" t="s">
        <v>238</v>
      </c>
      <c r="AC1634" t="s">
        <v>143</v>
      </c>
      <c r="AD1634" t="s">
        <v>40</v>
      </c>
      <c r="AE1634" t="str">
        <f t="shared" si="493"/>
        <v>05</v>
      </c>
      <c r="AF1634" t="s">
        <v>40</v>
      </c>
    </row>
    <row r="1635" spans="1:32" x14ac:dyDescent="0.25">
      <c r="A1635">
        <v>5</v>
      </c>
      <c r="B1635">
        <v>240</v>
      </c>
      <c r="C1635" t="str">
        <f t="shared" si="499"/>
        <v>35</v>
      </c>
      <c r="D1635">
        <v>6342</v>
      </c>
      <c r="E1635" t="str">
        <f t="shared" si="498"/>
        <v>00</v>
      </c>
      <c r="F1635" t="str">
        <f t="shared" si="500"/>
        <v>999</v>
      </c>
      <c r="G1635">
        <v>5</v>
      </c>
      <c r="H1635" t="str">
        <f t="shared" si="501"/>
        <v>99</v>
      </c>
      <c r="I1635" t="str">
        <f t="shared" si="490"/>
        <v>0</v>
      </c>
      <c r="J1635" t="str">
        <f t="shared" si="502"/>
        <v>00</v>
      </c>
      <c r="K1635">
        <v>20150527</v>
      </c>
      <c r="L1635" t="str">
        <f t="shared" si="503"/>
        <v>015019</v>
      </c>
      <c r="M1635" t="str">
        <f t="shared" si="504"/>
        <v>00391</v>
      </c>
      <c r="N1635" t="s">
        <v>857</v>
      </c>
      <c r="O1635">
        <v>86</v>
      </c>
      <c r="Q1635" t="s">
        <v>33</v>
      </c>
      <c r="R1635" t="s">
        <v>34</v>
      </c>
      <c r="S1635" t="s">
        <v>35</v>
      </c>
      <c r="T1635" t="s">
        <v>35</v>
      </c>
      <c r="U1635" t="s">
        <v>34</v>
      </c>
      <c r="V1635" t="str">
        <f>""</f>
        <v/>
      </c>
      <c r="W1635">
        <v>20150526</v>
      </c>
      <c r="X1635" t="s">
        <v>269</v>
      </c>
      <c r="Y1635" t="s">
        <v>573</v>
      </c>
      <c r="Z1635" t="s">
        <v>573</v>
      </c>
      <c r="AA1635">
        <v>0</v>
      </c>
      <c r="AB1635" t="s">
        <v>238</v>
      </c>
      <c r="AC1635" t="s">
        <v>143</v>
      </c>
      <c r="AD1635" t="s">
        <v>40</v>
      </c>
      <c r="AE1635" t="str">
        <f t="shared" si="493"/>
        <v>05</v>
      </c>
      <c r="AF1635" t="s">
        <v>40</v>
      </c>
    </row>
    <row r="1636" spans="1:32" x14ac:dyDescent="0.25">
      <c r="A1636">
        <v>5</v>
      </c>
      <c r="B1636">
        <v>240</v>
      </c>
      <c r="C1636" t="str">
        <f t="shared" si="499"/>
        <v>35</v>
      </c>
      <c r="D1636">
        <v>6342</v>
      </c>
      <c r="E1636" t="str">
        <f t="shared" si="498"/>
        <v>00</v>
      </c>
      <c r="F1636" t="str">
        <f t="shared" si="500"/>
        <v>999</v>
      </c>
      <c r="G1636">
        <v>5</v>
      </c>
      <c r="H1636" t="str">
        <f t="shared" si="501"/>
        <v>99</v>
      </c>
      <c r="I1636" t="str">
        <f t="shared" si="490"/>
        <v>0</v>
      </c>
      <c r="J1636" t="str">
        <f t="shared" si="502"/>
        <v>00</v>
      </c>
      <c r="K1636">
        <v>20150527</v>
      </c>
      <c r="L1636" t="str">
        <f t="shared" si="503"/>
        <v>015019</v>
      </c>
      <c r="M1636" t="str">
        <f t="shared" si="504"/>
        <v>00391</v>
      </c>
      <c r="N1636" t="s">
        <v>857</v>
      </c>
      <c r="O1636">
        <v>71.11</v>
      </c>
      <c r="Q1636" t="s">
        <v>33</v>
      </c>
      <c r="R1636" t="s">
        <v>34</v>
      </c>
      <c r="S1636" t="s">
        <v>35</v>
      </c>
      <c r="T1636" t="s">
        <v>35</v>
      </c>
      <c r="U1636" t="s">
        <v>34</v>
      </c>
      <c r="V1636" t="str">
        <f>""</f>
        <v/>
      </c>
      <c r="W1636">
        <v>20150526</v>
      </c>
      <c r="X1636" t="s">
        <v>269</v>
      </c>
      <c r="Y1636" t="s">
        <v>573</v>
      </c>
      <c r="Z1636" t="s">
        <v>573</v>
      </c>
      <c r="AA1636">
        <v>0</v>
      </c>
      <c r="AB1636" t="s">
        <v>238</v>
      </c>
      <c r="AC1636" t="s">
        <v>143</v>
      </c>
      <c r="AD1636" t="s">
        <v>40</v>
      </c>
      <c r="AE1636" t="str">
        <f t="shared" si="493"/>
        <v>05</v>
      </c>
      <c r="AF1636" t="s">
        <v>40</v>
      </c>
    </row>
    <row r="1637" spans="1:32" x14ac:dyDescent="0.25">
      <c r="A1637">
        <v>5</v>
      </c>
      <c r="B1637">
        <v>240</v>
      </c>
      <c r="C1637" t="str">
        <f t="shared" si="499"/>
        <v>35</v>
      </c>
      <c r="D1637">
        <v>6299</v>
      </c>
      <c r="E1637" t="str">
        <f t="shared" si="498"/>
        <v>00</v>
      </c>
      <c r="F1637" t="str">
        <f t="shared" si="500"/>
        <v>999</v>
      </c>
      <c r="G1637">
        <v>5</v>
      </c>
      <c r="H1637" t="str">
        <f t="shared" si="501"/>
        <v>99</v>
      </c>
      <c r="I1637" t="str">
        <f t="shared" si="490"/>
        <v>0</v>
      </c>
      <c r="J1637" t="str">
        <f t="shared" si="502"/>
        <v>00</v>
      </c>
      <c r="K1637">
        <v>20150527</v>
      </c>
      <c r="L1637" t="str">
        <f>"015020"</f>
        <v>015020</v>
      </c>
      <c r="M1637" t="str">
        <f>"00577"</f>
        <v>00577</v>
      </c>
      <c r="N1637" t="s">
        <v>251</v>
      </c>
      <c r="O1637">
        <v>25.63</v>
      </c>
      <c r="Q1637" t="s">
        <v>33</v>
      </c>
      <c r="R1637" t="s">
        <v>34</v>
      </c>
      <c r="S1637" t="s">
        <v>35</v>
      </c>
      <c r="T1637" t="s">
        <v>35</v>
      </c>
      <c r="U1637" t="s">
        <v>34</v>
      </c>
      <c r="V1637" t="str">
        <f>""</f>
        <v/>
      </c>
      <c r="W1637">
        <v>20150526</v>
      </c>
      <c r="X1637" t="s">
        <v>252</v>
      </c>
      <c r="Y1637" t="s">
        <v>253</v>
      </c>
      <c r="Z1637" t="s">
        <v>253</v>
      </c>
      <c r="AA1637">
        <v>0</v>
      </c>
      <c r="AB1637" t="s">
        <v>238</v>
      </c>
      <c r="AC1637" t="s">
        <v>143</v>
      </c>
      <c r="AD1637" t="s">
        <v>40</v>
      </c>
      <c r="AE1637" t="str">
        <f t="shared" si="493"/>
        <v>05</v>
      </c>
      <c r="AF1637" t="s">
        <v>40</v>
      </c>
    </row>
    <row r="1638" spans="1:32" x14ac:dyDescent="0.25">
      <c r="A1638">
        <v>5</v>
      </c>
      <c r="B1638">
        <v>420</v>
      </c>
      <c r="C1638" t="str">
        <f>"51"</f>
        <v>51</v>
      </c>
      <c r="D1638">
        <v>6299</v>
      </c>
      <c r="E1638" t="str">
        <f t="shared" si="498"/>
        <v>00</v>
      </c>
      <c r="F1638" t="str">
        <f t="shared" si="500"/>
        <v>999</v>
      </c>
      <c r="G1638">
        <v>5</v>
      </c>
      <c r="H1638" t="str">
        <f t="shared" si="501"/>
        <v>99</v>
      </c>
      <c r="I1638" t="str">
        <f t="shared" si="490"/>
        <v>0</v>
      </c>
      <c r="J1638" t="str">
        <f t="shared" si="502"/>
        <v>00</v>
      </c>
      <c r="K1638">
        <v>20150527</v>
      </c>
      <c r="L1638" t="str">
        <f>"015020"</f>
        <v>015020</v>
      </c>
      <c r="M1638" t="str">
        <f>"00577"</f>
        <v>00577</v>
      </c>
      <c r="N1638" t="s">
        <v>251</v>
      </c>
      <c r="O1638">
        <v>63.72</v>
      </c>
      <c r="Q1638" t="s">
        <v>33</v>
      </c>
      <c r="R1638" t="s">
        <v>34</v>
      </c>
      <c r="S1638" t="s">
        <v>35</v>
      </c>
      <c r="T1638" t="s">
        <v>35</v>
      </c>
      <c r="U1638" t="s">
        <v>34</v>
      </c>
      <c r="V1638" t="str">
        <f>""</f>
        <v/>
      </c>
      <c r="W1638">
        <v>20150526</v>
      </c>
      <c r="X1638" t="s">
        <v>203</v>
      </c>
      <c r="Y1638" t="s">
        <v>253</v>
      </c>
      <c r="Z1638" t="s">
        <v>253</v>
      </c>
      <c r="AA1638">
        <v>0</v>
      </c>
      <c r="AB1638" t="s">
        <v>142</v>
      </c>
      <c r="AC1638" t="s">
        <v>143</v>
      </c>
      <c r="AD1638" t="s">
        <v>40</v>
      </c>
      <c r="AE1638" t="str">
        <f t="shared" si="493"/>
        <v>05</v>
      </c>
      <c r="AF1638" t="s">
        <v>40</v>
      </c>
    </row>
    <row r="1639" spans="1:32" x14ac:dyDescent="0.25">
      <c r="A1639">
        <v>5</v>
      </c>
      <c r="B1639">
        <v>420</v>
      </c>
      <c r="C1639" t="str">
        <f>"33"</f>
        <v>33</v>
      </c>
      <c r="D1639">
        <v>6219</v>
      </c>
      <c r="E1639" t="str">
        <f t="shared" si="498"/>
        <v>00</v>
      </c>
      <c r="F1639" t="str">
        <f t="shared" si="500"/>
        <v>999</v>
      </c>
      <c r="G1639">
        <v>5</v>
      </c>
      <c r="H1639" t="str">
        <f t="shared" si="501"/>
        <v>99</v>
      </c>
      <c r="I1639" t="str">
        <f t="shared" si="490"/>
        <v>0</v>
      </c>
      <c r="J1639" t="str">
        <f t="shared" si="502"/>
        <v>00</v>
      </c>
      <c r="K1639">
        <v>20150527</v>
      </c>
      <c r="L1639" t="str">
        <f>"015021"</f>
        <v>015021</v>
      </c>
      <c r="M1639" t="str">
        <f>"00548"</f>
        <v>00548</v>
      </c>
      <c r="N1639" t="s">
        <v>167</v>
      </c>
      <c r="O1639">
        <v>270</v>
      </c>
      <c r="Q1639" t="s">
        <v>33</v>
      </c>
      <c r="R1639" t="s">
        <v>34</v>
      </c>
      <c r="S1639" t="s">
        <v>35</v>
      </c>
      <c r="T1639" t="s">
        <v>35</v>
      </c>
      <c r="U1639" t="s">
        <v>34</v>
      </c>
      <c r="V1639" t="str">
        <f>""</f>
        <v/>
      </c>
      <c r="W1639">
        <v>20150526</v>
      </c>
      <c r="X1639" t="s">
        <v>233</v>
      </c>
      <c r="Y1639" t="s">
        <v>893</v>
      </c>
      <c r="Z1639" t="s">
        <v>893</v>
      </c>
      <c r="AA1639">
        <v>0</v>
      </c>
      <c r="AB1639" t="s">
        <v>142</v>
      </c>
      <c r="AC1639" t="s">
        <v>143</v>
      </c>
      <c r="AD1639" t="s">
        <v>40</v>
      </c>
      <c r="AE1639" t="str">
        <f t="shared" ref="AE1639:AE1652" si="505">"05"</f>
        <v>05</v>
      </c>
      <c r="AF1639" t="s">
        <v>40</v>
      </c>
    </row>
    <row r="1640" spans="1:32" x14ac:dyDescent="0.25">
      <c r="A1640">
        <v>5</v>
      </c>
      <c r="B1640">
        <v>420</v>
      </c>
      <c r="C1640" t="str">
        <f>"41"</f>
        <v>41</v>
      </c>
      <c r="D1640">
        <v>6499</v>
      </c>
      <c r="E1640" t="str">
        <f t="shared" si="498"/>
        <v>00</v>
      </c>
      <c r="F1640" t="str">
        <f>"750"</f>
        <v>750</v>
      </c>
      <c r="G1640">
        <v>5</v>
      </c>
      <c r="H1640" t="str">
        <f t="shared" si="501"/>
        <v>99</v>
      </c>
      <c r="I1640" t="str">
        <f t="shared" si="490"/>
        <v>0</v>
      </c>
      <c r="J1640" t="str">
        <f t="shared" si="502"/>
        <v>00</v>
      </c>
      <c r="K1640">
        <v>20150527</v>
      </c>
      <c r="L1640" t="str">
        <f>"015022"</f>
        <v>015022</v>
      </c>
      <c r="M1640" t="str">
        <f>"00548"</f>
        <v>00548</v>
      </c>
      <c r="N1640" t="s">
        <v>167</v>
      </c>
      <c r="O1640">
        <v>64.28</v>
      </c>
      <c r="Q1640" t="s">
        <v>33</v>
      </c>
      <c r="R1640" t="s">
        <v>34</v>
      </c>
      <c r="S1640" t="s">
        <v>35</v>
      </c>
      <c r="T1640" t="s">
        <v>35</v>
      </c>
      <c r="U1640" t="s">
        <v>34</v>
      </c>
      <c r="V1640" t="str">
        <f>""</f>
        <v/>
      </c>
      <c r="W1640">
        <v>20150526</v>
      </c>
      <c r="X1640" t="s">
        <v>168</v>
      </c>
      <c r="Y1640" t="s">
        <v>894</v>
      </c>
      <c r="Z1640" t="s">
        <v>894</v>
      </c>
      <c r="AA1640">
        <v>0</v>
      </c>
      <c r="AB1640" t="s">
        <v>142</v>
      </c>
      <c r="AC1640" t="s">
        <v>170</v>
      </c>
      <c r="AD1640" t="s">
        <v>40</v>
      </c>
      <c r="AE1640" t="str">
        <f t="shared" si="505"/>
        <v>05</v>
      </c>
      <c r="AF1640" t="s">
        <v>40</v>
      </c>
    </row>
    <row r="1641" spans="1:32" x14ac:dyDescent="0.25">
      <c r="A1641">
        <v>5</v>
      </c>
      <c r="B1641">
        <v>420</v>
      </c>
      <c r="C1641" t="str">
        <f>"11"</f>
        <v>11</v>
      </c>
      <c r="D1641">
        <v>6399</v>
      </c>
      <c r="E1641" t="str">
        <f t="shared" si="498"/>
        <v>00</v>
      </c>
      <c r="F1641" t="str">
        <f>"001"</f>
        <v>001</v>
      </c>
      <c r="G1641">
        <v>5</v>
      </c>
      <c r="H1641" t="str">
        <f>"11"</f>
        <v>11</v>
      </c>
      <c r="I1641" t="str">
        <f t="shared" si="490"/>
        <v>0</v>
      </c>
      <c r="J1641" t="str">
        <f t="shared" si="502"/>
        <v>00</v>
      </c>
      <c r="K1641">
        <v>20150527</v>
      </c>
      <c r="L1641" t="str">
        <f>"015023"</f>
        <v>015023</v>
      </c>
      <c r="M1641" t="str">
        <f>"00374"</f>
        <v>00374</v>
      </c>
      <c r="N1641" t="s">
        <v>408</v>
      </c>
      <c r="O1641">
        <v>43.36</v>
      </c>
      <c r="Q1641" t="s">
        <v>33</v>
      </c>
      <c r="R1641" t="s">
        <v>34</v>
      </c>
      <c r="S1641" t="s">
        <v>35</v>
      </c>
      <c r="T1641" t="s">
        <v>35</v>
      </c>
      <c r="U1641" t="s">
        <v>34</v>
      </c>
      <c r="V1641" t="str">
        <f>""</f>
        <v/>
      </c>
      <c r="W1641">
        <v>20150527</v>
      </c>
      <c r="X1641" t="s">
        <v>239</v>
      </c>
      <c r="Y1641" t="s">
        <v>503</v>
      </c>
      <c r="Z1641" t="s">
        <v>503</v>
      </c>
      <c r="AA1641">
        <v>0</v>
      </c>
      <c r="AB1641" t="s">
        <v>142</v>
      </c>
      <c r="AC1641" t="s">
        <v>41</v>
      </c>
      <c r="AD1641" t="s">
        <v>40</v>
      </c>
      <c r="AE1641" t="str">
        <f t="shared" si="505"/>
        <v>05</v>
      </c>
      <c r="AF1641" t="s">
        <v>40</v>
      </c>
    </row>
    <row r="1642" spans="1:32" x14ac:dyDescent="0.25">
      <c r="A1642">
        <v>5</v>
      </c>
      <c r="B1642">
        <v>420</v>
      </c>
      <c r="C1642" t="str">
        <f>"11"</f>
        <v>11</v>
      </c>
      <c r="D1642">
        <v>6399</v>
      </c>
      <c r="E1642" t="str">
        <f t="shared" si="498"/>
        <v>00</v>
      </c>
      <c r="F1642" t="str">
        <f>"041"</f>
        <v>041</v>
      </c>
      <c r="G1642">
        <v>5</v>
      </c>
      <c r="H1642" t="str">
        <f>"11"</f>
        <v>11</v>
      </c>
      <c r="I1642" t="str">
        <f t="shared" si="490"/>
        <v>0</v>
      </c>
      <c r="J1642" t="str">
        <f t="shared" si="502"/>
        <v>00</v>
      </c>
      <c r="K1642">
        <v>20150527</v>
      </c>
      <c r="L1642" t="str">
        <f>"015023"</f>
        <v>015023</v>
      </c>
      <c r="M1642" t="str">
        <f>"00374"</f>
        <v>00374</v>
      </c>
      <c r="N1642" t="s">
        <v>408</v>
      </c>
      <c r="O1642">
        <v>43.36</v>
      </c>
      <c r="Q1642" t="s">
        <v>33</v>
      </c>
      <c r="R1642" t="s">
        <v>34</v>
      </c>
      <c r="S1642" t="s">
        <v>35</v>
      </c>
      <c r="T1642" t="s">
        <v>35</v>
      </c>
      <c r="U1642" t="s">
        <v>34</v>
      </c>
      <c r="V1642" t="str">
        <f>""</f>
        <v/>
      </c>
      <c r="W1642">
        <v>20150527</v>
      </c>
      <c r="X1642" t="s">
        <v>241</v>
      </c>
      <c r="Y1642" t="s">
        <v>503</v>
      </c>
      <c r="Z1642" t="s">
        <v>503</v>
      </c>
      <c r="AA1642">
        <v>0</v>
      </c>
      <c r="AB1642" t="s">
        <v>142</v>
      </c>
      <c r="AC1642" t="s">
        <v>41</v>
      </c>
      <c r="AD1642" t="s">
        <v>40</v>
      </c>
      <c r="AE1642" t="str">
        <f t="shared" si="505"/>
        <v>05</v>
      </c>
      <c r="AF1642" t="s">
        <v>40</v>
      </c>
    </row>
    <row r="1643" spans="1:32" x14ac:dyDescent="0.25">
      <c r="A1643">
        <v>5</v>
      </c>
      <c r="B1643">
        <v>420</v>
      </c>
      <c r="C1643" t="str">
        <f>"11"</f>
        <v>11</v>
      </c>
      <c r="D1643">
        <v>6399</v>
      </c>
      <c r="E1643" t="str">
        <f t="shared" si="498"/>
        <v>00</v>
      </c>
      <c r="F1643" t="str">
        <f>"101"</f>
        <v>101</v>
      </c>
      <c r="G1643">
        <v>5</v>
      </c>
      <c r="H1643" t="str">
        <f>"11"</f>
        <v>11</v>
      </c>
      <c r="I1643" t="str">
        <f t="shared" si="490"/>
        <v>0</v>
      </c>
      <c r="J1643" t="str">
        <f t="shared" si="502"/>
        <v>00</v>
      </c>
      <c r="K1643">
        <v>20150527</v>
      </c>
      <c r="L1643" t="str">
        <f>"015023"</f>
        <v>015023</v>
      </c>
      <c r="M1643" t="str">
        <f>"00374"</f>
        <v>00374</v>
      </c>
      <c r="N1643" t="s">
        <v>408</v>
      </c>
      <c r="O1643">
        <v>184.28</v>
      </c>
      <c r="Q1643" t="s">
        <v>33</v>
      </c>
      <c r="R1643" t="s">
        <v>34</v>
      </c>
      <c r="S1643" t="s">
        <v>35</v>
      </c>
      <c r="T1643" t="s">
        <v>35</v>
      </c>
      <c r="U1643" t="s">
        <v>34</v>
      </c>
      <c r="V1643" t="str">
        <f>""</f>
        <v/>
      </c>
      <c r="W1643">
        <v>20150527</v>
      </c>
      <c r="X1643" t="s">
        <v>246</v>
      </c>
      <c r="Y1643" t="s">
        <v>503</v>
      </c>
      <c r="Z1643" t="s">
        <v>503</v>
      </c>
      <c r="AA1643">
        <v>0</v>
      </c>
      <c r="AB1643" t="s">
        <v>142</v>
      </c>
      <c r="AC1643" t="s">
        <v>41</v>
      </c>
      <c r="AD1643" t="s">
        <v>40</v>
      </c>
      <c r="AE1643" t="str">
        <f t="shared" si="505"/>
        <v>05</v>
      </c>
      <c r="AF1643" t="s">
        <v>40</v>
      </c>
    </row>
    <row r="1644" spans="1:32" x14ac:dyDescent="0.25">
      <c r="A1644">
        <v>5</v>
      </c>
      <c r="B1644">
        <v>255</v>
      </c>
      <c r="C1644" t="str">
        <f>"11"</f>
        <v>11</v>
      </c>
      <c r="D1644">
        <v>6219</v>
      </c>
      <c r="E1644" t="str">
        <f t="shared" si="498"/>
        <v>00</v>
      </c>
      <c r="F1644" t="str">
        <f>"999"</f>
        <v>999</v>
      </c>
      <c r="G1644">
        <v>5</v>
      </c>
      <c r="H1644" t="str">
        <f>"30"</f>
        <v>30</v>
      </c>
      <c r="I1644" t="str">
        <f t="shared" si="490"/>
        <v>0</v>
      </c>
      <c r="J1644" t="str">
        <f t="shared" si="502"/>
        <v>00</v>
      </c>
      <c r="K1644">
        <v>20150530</v>
      </c>
      <c r="L1644" t="str">
        <f>"015024"</f>
        <v>015024</v>
      </c>
      <c r="M1644" t="str">
        <f>"00803"</f>
        <v>00803</v>
      </c>
      <c r="N1644" t="s">
        <v>744</v>
      </c>
      <c r="O1644">
        <v>568.5</v>
      </c>
      <c r="Q1644" t="s">
        <v>33</v>
      </c>
      <c r="R1644" t="s">
        <v>34</v>
      </c>
      <c r="S1644" t="s">
        <v>35</v>
      </c>
      <c r="T1644" t="s">
        <v>35</v>
      </c>
      <c r="U1644" t="s">
        <v>34</v>
      </c>
      <c r="V1644" t="str">
        <f>""</f>
        <v/>
      </c>
      <c r="W1644">
        <v>20150601</v>
      </c>
      <c r="X1644" t="s">
        <v>177</v>
      </c>
      <c r="Y1644" t="s">
        <v>141</v>
      </c>
      <c r="Z1644" t="s">
        <v>141</v>
      </c>
      <c r="AA1644">
        <v>0</v>
      </c>
      <c r="AB1644" t="s">
        <v>178</v>
      </c>
      <c r="AC1644" t="s">
        <v>143</v>
      </c>
      <c r="AD1644" t="s">
        <v>40</v>
      </c>
      <c r="AE1644" t="str">
        <f t="shared" si="505"/>
        <v>05</v>
      </c>
      <c r="AF1644" t="s">
        <v>40</v>
      </c>
    </row>
    <row r="1645" spans="1:32" x14ac:dyDescent="0.25">
      <c r="A1645">
        <v>5</v>
      </c>
      <c r="B1645">
        <v>240</v>
      </c>
      <c r="C1645" t="str">
        <f>"35"</f>
        <v>35</v>
      </c>
      <c r="D1645">
        <v>6299</v>
      </c>
      <c r="E1645" t="str">
        <f t="shared" si="498"/>
        <v>00</v>
      </c>
      <c r="F1645" t="str">
        <f>"999"</f>
        <v>999</v>
      </c>
      <c r="G1645">
        <v>5</v>
      </c>
      <c r="H1645" t="str">
        <f t="shared" ref="H1645:H1655" si="506">"99"</f>
        <v>99</v>
      </c>
      <c r="I1645" t="str">
        <f t="shared" si="490"/>
        <v>0</v>
      </c>
      <c r="J1645" t="str">
        <f t="shared" si="502"/>
        <v>00</v>
      </c>
      <c r="K1645">
        <v>20150530</v>
      </c>
      <c r="L1645" t="str">
        <f>"015025"</f>
        <v>015025</v>
      </c>
      <c r="M1645" t="str">
        <f>"00577"</f>
        <v>00577</v>
      </c>
      <c r="N1645" t="s">
        <v>251</v>
      </c>
      <c r="O1645">
        <v>25.63</v>
      </c>
      <c r="Q1645" t="s">
        <v>33</v>
      </c>
      <c r="R1645" t="s">
        <v>34</v>
      </c>
      <c r="S1645" t="s">
        <v>35</v>
      </c>
      <c r="T1645" t="s">
        <v>35</v>
      </c>
      <c r="U1645" t="s">
        <v>34</v>
      </c>
      <c r="V1645" t="str">
        <f>""</f>
        <v/>
      </c>
      <c r="W1645">
        <v>20150601</v>
      </c>
      <c r="X1645" t="s">
        <v>252</v>
      </c>
      <c r="Y1645" t="s">
        <v>253</v>
      </c>
      <c r="Z1645" t="s">
        <v>253</v>
      </c>
      <c r="AA1645">
        <v>0</v>
      </c>
      <c r="AB1645" t="s">
        <v>238</v>
      </c>
      <c r="AC1645" t="s">
        <v>143</v>
      </c>
      <c r="AD1645" t="s">
        <v>40</v>
      </c>
      <c r="AE1645" t="str">
        <f t="shared" si="505"/>
        <v>05</v>
      </c>
      <c r="AF1645" t="s">
        <v>40</v>
      </c>
    </row>
    <row r="1646" spans="1:32" x14ac:dyDescent="0.25">
      <c r="A1646">
        <v>5</v>
      </c>
      <c r="B1646">
        <v>420</v>
      </c>
      <c r="C1646" t="str">
        <f>"51"</f>
        <v>51</v>
      </c>
      <c r="D1646">
        <v>6299</v>
      </c>
      <c r="E1646" t="str">
        <f t="shared" si="498"/>
        <v>00</v>
      </c>
      <c r="F1646" t="str">
        <f>"999"</f>
        <v>999</v>
      </c>
      <c r="G1646">
        <v>5</v>
      </c>
      <c r="H1646" t="str">
        <f t="shared" si="506"/>
        <v>99</v>
      </c>
      <c r="I1646" t="str">
        <f t="shared" si="490"/>
        <v>0</v>
      </c>
      <c r="J1646" t="str">
        <f t="shared" si="502"/>
        <v>00</v>
      </c>
      <c r="K1646">
        <v>20150530</v>
      </c>
      <c r="L1646" t="str">
        <f>"015025"</f>
        <v>015025</v>
      </c>
      <c r="M1646" t="str">
        <f>"00577"</f>
        <v>00577</v>
      </c>
      <c r="N1646" t="s">
        <v>251</v>
      </c>
      <c r="O1646">
        <v>63.72</v>
      </c>
      <c r="Q1646" t="s">
        <v>33</v>
      </c>
      <c r="R1646" t="s">
        <v>34</v>
      </c>
      <c r="S1646" t="s">
        <v>35</v>
      </c>
      <c r="T1646" t="s">
        <v>35</v>
      </c>
      <c r="U1646" t="s">
        <v>34</v>
      </c>
      <c r="V1646" t="str">
        <f>""</f>
        <v/>
      </c>
      <c r="W1646">
        <v>20150601</v>
      </c>
      <c r="X1646" t="s">
        <v>203</v>
      </c>
      <c r="Y1646" t="s">
        <v>253</v>
      </c>
      <c r="Z1646" t="s">
        <v>253</v>
      </c>
      <c r="AA1646">
        <v>0</v>
      </c>
      <c r="AB1646" t="s">
        <v>142</v>
      </c>
      <c r="AC1646" t="s">
        <v>143</v>
      </c>
      <c r="AD1646" t="s">
        <v>40</v>
      </c>
      <c r="AE1646" t="str">
        <f t="shared" si="505"/>
        <v>05</v>
      </c>
      <c r="AF1646" t="s">
        <v>40</v>
      </c>
    </row>
    <row r="1647" spans="1:32" x14ac:dyDescent="0.25">
      <c r="A1647">
        <v>5</v>
      </c>
      <c r="B1647">
        <v>420</v>
      </c>
      <c r="C1647" t="str">
        <f t="shared" ref="C1647:C1652" si="507">"41"</f>
        <v>41</v>
      </c>
      <c r="D1647">
        <v>6499</v>
      </c>
      <c r="E1647" t="str">
        <f t="shared" si="498"/>
        <v>00</v>
      </c>
      <c r="F1647" t="str">
        <f t="shared" ref="F1647:F1652" si="508">"750"</f>
        <v>750</v>
      </c>
      <c r="G1647">
        <v>5</v>
      </c>
      <c r="H1647" t="str">
        <f t="shared" si="506"/>
        <v>99</v>
      </c>
      <c r="I1647" t="str">
        <f t="shared" si="490"/>
        <v>0</v>
      </c>
      <c r="J1647" t="str">
        <f t="shared" si="502"/>
        <v>00</v>
      </c>
      <c r="K1647">
        <v>20150530</v>
      </c>
      <c r="L1647" t="str">
        <f t="shared" ref="L1647:L1652" si="509">"015026"</f>
        <v>015026</v>
      </c>
      <c r="M1647" t="str">
        <f t="shared" ref="M1647:M1652" si="510">"00548"</f>
        <v>00548</v>
      </c>
      <c r="N1647" t="s">
        <v>167</v>
      </c>
      <c r="O1647">
        <v>157.79</v>
      </c>
      <c r="Q1647" t="s">
        <v>33</v>
      </c>
      <c r="R1647" t="s">
        <v>34</v>
      </c>
      <c r="S1647" t="s">
        <v>35</v>
      </c>
      <c r="T1647" t="s">
        <v>35</v>
      </c>
      <c r="U1647" t="s">
        <v>34</v>
      </c>
      <c r="V1647" t="str">
        <f>""</f>
        <v/>
      </c>
      <c r="W1647">
        <v>20150601</v>
      </c>
      <c r="X1647" t="s">
        <v>168</v>
      </c>
      <c r="Y1647" t="s">
        <v>895</v>
      </c>
      <c r="Z1647" t="s">
        <v>895</v>
      </c>
      <c r="AA1647">
        <v>0</v>
      </c>
      <c r="AB1647" t="s">
        <v>142</v>
      </c>
      <c r="AC1647" t="s">
        <v>170</v>
      </c>
      <c r="AD1647" t="s">
        <v>40</v>
      </c>
      <c r="AE1647" t="str">
        <f t="shared" si="505"/>
        <v>05</v>
      </c>
      <c r="AF1647" t="s">
        <v>40</v>
      </c>
    </row>
    <row r="1648" spans="1:32" x14ac:dyDescent="0.25">
      <c r="A1648">
        <v>5</v>
      </c>
      <c r="B1648">
        <v>420</v>
      </c>
      <c r="C1648" t="str">
        <f t="shared" si="507"/>
        <v>41</v>
      </c>
      <c r="D1648">
        <v>6499</v>
      </c>
      <c r="E1648" t="str">
        <f t="shared" si="498"/>
        <v>00</v>
      </c>
      <c r="F1648" t="str">
        <f t="shared" si="508"/>
        <v>750</v>
      </c>
      <c r="G1648">
        <v>5</v>
      </c>
      <c r="H1648" t="str">
        <f t="shared" si="506"/>
        <v>99</v>
      </c>
      <c r="I1648" t="str">
        <f t="shared" si="490"/>
        <v>0</v>
      </c>
      <c r="J1648" t="str">
        <f t="shared" si="502"/>
        <v>00</v>
      </c>
      <c r="K1648">
        <v>20150530</v>
      </c>
      <c r="L1648" t="str">
        <f t="shared" si="509"/>
        <v>015026</v>
      </c>
      <c r="M1648" t="str">
        <f t="shared" si="510"/>
        <v>00548</v>
      </c>
      <c r="N1648" t="s">
        <v>167</v>
      </c>
      <c r="O1648">
        <v>54.47</v>
      </c>
      <c r="Q1648" t="s">
        <v>33</v>
      </c>
      <c r="R1648" t="s">
        <v>34</v>
      </c>
      <c r="S1648" t="s">
        <v>35</v>
      </c>
      <c r="T1648" t="s">
        <v>35</v>
      </c>
      <c r="U1648" t="s">
        <v>34</v>
      </c>
      <c r="V1648" t="str">
        <f>""</f>
        <v/>
      </c>
      <c r="W1648">
        <v>20150601</v>
      </c>
      <c r="X1648" t="s">
        <v>168</v>
      </c>
      <c r="Y1648" t="s">
        <v>895</v>
      </c>
      <c r="Z1648" t="s">
        <v>895</v>
      </c>
      <c r="AA1648">
        <v>0</v>
      </c>
      <c r="AB1648" t="s">
        <v>142</v>
      </c>
      <c r="AC1648" t="s">
        <v>170</v>
      </c>
      <c r="AD1648" t="s">
        <v>40</v>
      </c>
      <c r="AE1648" t="str">
        <f t="shared" si="505"/>
        <v>05</v>
      </c>
      <c r="AF1648" t="s">
        <v>40</v>
      </c>
    </row>
    <row r="1649" spans="1:32" x14ac:dyDescent="0.25">
      <c r="A1649">
        <v>5</v>
      </c>
      <c r="B1649">
        <v>420</v>
      </c>
      <c r="C1649" t="str">
        <f t="shared" si="507"/>
        <v>41</v>
      </c>
      <c r="D1649">
        <v>6499</v>
      </c>
      <c r="E1649" t="str">
        <f t="shared" si="498"/>
        <v>00</v>
      </c>
      <c r="F1649" t="str">
        <f t="shared" si="508"/>
        <v>750</v>
      </c>
      <c r="G1649">
        <v>5</v>
      </c>
      <c r="H1649" t="str">
        <f t="shared" si="506"/>
        <v>99</v>
      </c>
      <c r="I1649" t="str">
        <f t="shared" si="490"/>
        <v>0</v>
      </c>
      <c r="J1649" t="str">
        <f t="shared" si="502"/>
        <v>00</v>
      </c>
      <c r="K1649">
        <v>20150530</v>
      </c>
      <c r="L1649" t="str">
        <f t="shared" si="509"/>
        <v>015026</v>
      </c>
      <c r="M1649" t="str">
        <f t="shared" si="510"/>
        <v>00548</v>
      </c>
      <c r="N1649" t="s">
        <v>167</v>
      </c>
      <c r="O1649">
        <v>62.23</v>
      </c>
      <c r="Q1649" t="s">
        <v>33</v>
      </c>
      <c r="R1649" t="s">
        <v>34</v>
      </c>
      <c r="S1649" t="s">
        <v>35</v>
      </c>
      <c r="T1649" t="s">
        <v>35</v>
      </c>
      <c r="U1649" t="s">
        <v>34</v>
      </c>
      <c r="V1649" t="str">
        <f>""</f>
        <v/>
      </c>
      <c r="W1649">
        <v>20150601</v>
      </c>
      <c r="X1649" t="s">
        <v>168</v>
      </c>
      <c r="Y1649" t="s">
        <v>895</v>
      </c>
      <c r="Z1649" t="s">
        <v>895</v>
      </c>
      <c r="AA1649">
        <v>0</v>
      </c>
      <c r="AB1649" t="s">
        <v>142</v>
      </c>
      <c r="AC1649" t="s">
        <v>170</v>
      </c>
      <c r="AD1649" t="s">
        <v>40</v>
      </c>
      <c r="AE1649" t="str">
        <f t="shared" si="505"/>
        <v>05</v>
      </c>
      <c r="AF1649" t="s">
        <v>40</v>
      </c>
    </row>
    <row r="1650" spans="1:32" x14ac:dyDescent="0.25">
      <c r="A1650">
        <v>5</v>
      </c>
      <c r="B1650">
        <v>420</v>
      </c>
      <c r="C1650" t="str">
        <f t="shared" si="507"/>
        <v>41</v>
      </c>
      <c r="D1650">
        <v>6499</v>
      </c>
      <c r="E1650" t="str">
        <f t="shared" si="498"/>
        <v>00</v>
      </c>
      <c r="F1650" t="str">
        <f t="shared" si="508"/>
        <v>750</v>
      </c>
      <c r="G1650">
        <v>5</v>
      </c>
      <c r="H1650" t="str">
        <f t="shared" si="506"/>
        <v>99</v>
      </c>
      <c r="I1650" t="str">
        <f t="shared" si="490"/>
        <v>0</v>
      </c>
      <c r="J1650" t="str">
        <f t="shared" si="502"/>
        <v>00</v>
      </c>
      <c r="K1650">
        <v>20150530</v>
      </c>
      <c r="L1650" t="str">
        <f t="shared" si="509"/>
        <v>015026</v>
      </c>
      <c r="M1650" t="str">
        <f t="shared" si="510"/>
        <v>00548</v>
      </c>
      <c r="N1650" t="s">
        <v>167</v>
      </c>
      <c r="O1650">
        <v>116.16</v>
      </c>
      <c r="Q1650" t="s">
        <v>33</v>
      </c>
      <c r="R1650" t="s">
        <v>34</v>
      </c>
      <c r="S1650" t="s">
        <v>35</v>
      </c>
      <c r="T1650" t="s">
        <v>35</v>
      </c>
      <c r="U1650" t="s">
        <v>34</v>
      </c>
      <c r="V1650" t="str">
        <f>""</f>
        <v/>
      </c>
      <c r="W1650">
        <v>20150601</v>
      </c>
      <c r="X1650" t="s">
        <v>168</v>
      </c>
      <c r="Y1650" t="s">
        <v>895</v>
      </c>
      <c r="Z1650" t="s">
        <v>895</v>
      </c>
      <c r="AA1650">
        <v>0</v>
      </c>
      <c r="AB1650" t="s">
        <v>142</v>
      </c>
      <c r="AC1650" t="s">
        <v>170</v>
      </c>
      <c r="AD1650" t="s">
        <v>40</v>
      </c>
      <c r="AE1650" t="str">
        <f t="shared" si="505"/>
        <v>05</v>
      </c>
      <c r="AF1650" t="s">
        <v>40</v>
      </c>
    </row>
    <row r="1651" spans="1:32" x14ac:dyDescent="0.25">
      <c r="A1651">
        <v>5</v>
      </c>
      <c r="B1651">
        <v>420</v>
      </c>
      <c r="C1651" t="str">
        <f t="shared" si="507"/>
        <v>41</v>
      </c>
      <c r="D1651">
        <v>6499</v>
      </c>
      <c r="E1651" t="str">
        <f t="shared" si="498"/>
        <v>00</v>
      </c>
      <c r="F1651" t="str">
        <f t="shared" si="508"/>
        <v>750</v>
      </c>
      <c r="G1651">
        <v>5</v>
      </c>
      <c r="H1651" t="str">
        <f t="shared" si="506"/>
        <v>99</v>
      </c>
      <c r="I1651" t="str">
        <f t="shared" si="490"/>
        <v>0</v>
      </c>
      <c r="J1651" t="str">
        <f t="shared" si="502"/>
        <v>00</v>
      </c>
      <c r="K1651">
        <v>20150530</v>
      </c>
      <c r="L1651" t="str">
        <f t="shared" si="509"/>
        <v>015026</v>
      </c>
      <c r="M1651" t="str">
        <f t="shared" si="510"/>
        <v>00548</v>
      </c>
      <c r="N1651" t="s">
        <v>167</v>
      </c>
      <c r="O1651">
        <v>139</v>
      </c>
      <c r="Q1651" t="s">
        <v>33</v>
      </c>
      <c r="R1651" t="s">
        <v>34</v>
      </c>
      <c r="S1651" t="s">
        <v>35</v>
      </c>
      <c r="T1651" t="s">
        <v>35</v>
      </c>
      <c r="U1651" t="s">
        <v>34</v>
      </c>
      <c r="V1651" t="str">
        <f>""</f>
        <v/>
      </c>
      <c r="W1651">
        <v>20150601</v>
      </c>
      <c r="X1651" t="s">
        <v>168</v>
      </c>
      <c r="Y1651" t="s">
        <v>895</v>
      </c>
      <c r="Z1651" t="s">
        <v>895</v>
      </c>
      <c r="AA1651">
        <v>0</v>
      </c>
      <c r="AB1651" t="s">
        <v>142</v>
      </c>
      <c r="AC1651" t="s">
        <v>170</v>
      </c>
      <c r="AD1651" t="s">
        <v>40</v>
      </c>
      <c r="AE1651" t="str">
        <f t="shared" si="505"/>
        <v>05</v>
      </c>
      <c r="AF1651" t="s">
        <v>40</v>
      </c>
    </row>
    <row r="1652" spans="1:32" x14ac:dyDescent="0.25">
      <c r="A1652">
        <v>5</v>
      </c>
      <c r="B1652">
        <v>420</v>
      </c>
      <c r="C1652" t="str">
        <f t="shared" si="507"/>
        <v>41</v>
      </c>
      <c r="D1652">
        <v>6499</v>
      </c>
      <c r="E1652" t="str">
        <f t="shared" si="498"/>
        <v>00</v>
      </c>
      <c r="F1652" t="str">
        <f t="shared" si="508"/>
        <v>750</v>
      </c>
      <c r="G1652">
        <v>5</v>
      </c>
      <c r="H1652" t="str">
        <f t="shared" si="506"/>
        <v>99</v>
      </c>
      <c r="I1652" t="str">
        <f t="shared" si="490"/>
        <v>0</v>
      </c>
      <c r="J1652" t="str">
        <f t="shared" si="502"/>
        <v>00</v>
      </c>
      <c r="K1652">
        <v>20150530</v>
      </c>
      <c r="L1652" t="str">
        <f t="shared" si="509"/>
        <v>015026</v>
      </c>
      <c r="M1652" t="str">
        <f t="shared" si="510"/>
        <v>00548</v>
      </c>
      <c r="N1652" t="s">
        <v>167</v>
      </c>
      <c r="O1652">
        <v>8.2899999999999991</v>
      </c>
      <c r="Q1652" t="s">
        <v>33</v>
      </c>
      <c r="R1652" t="s">
        <v>34</v>
      </c>
      <c r="S1652" t="s">
        <v>35</v>
      </c>
      <c r="T1652" t="s">
        <v>35</v>
      </c>
      <c r="U1652" t="s">
        <v>34</v>
      </c>
      <c r="V1652" t="str">
        <f>""</f>
        <v/>
      </c>
      <c r="W1652">
        <v>20150601</v>
      </c>
      <c r="X1652" t="s">
        <v>168</v>
      </c>
      <c r="Y1652" t="s">
        <v>895</v>
      </c>
      <c r="Z1652" t="s">
        <v>895</v>
      </c>
      <c r="AA1652">
        <v>0</v>
      </c>
      <c r="AB1652" t="s">
        <v>142</v>
      </c>
      <c r="AC1652" t="s">
        <v>170</v>
      </c>
      <c r="AD1652" t="s">
        <v>40</v>
      </c>
      <c r="AE1652" t="str">
        <f t="shared" si="505"/>
        <v>05</v>
      </c>
      <c r="AF1652" t="s">
        <v>40</v>
      </c>
    </row>
    <row r="1653" spans="1:32" x14ac:dyDescent="0.25">
      <c r="A1653">
        <v>5</v>
      </c>
      <c r="B1653">
        <v>420</v>
      </c>
      <c r="C1653" t="str">
        <f>"51"</f>
        <v>51</v>
      </c>
      <c r="D1653">
        <v>6259</v>
      </c>
      <c r="E1653" t="str">
        <f>"54"</f>
        <v>54</v>
      </c>
      <c r="F1653" t="str">
        <f>"999"</f>
        <v>999</v>
      </c>
      <c r="G1653">
        <v>5</v>
      </c>
      <c r="H1653" t="str">
        <f t="shared" si="506"/>
        <v>99</v>
      </c>
      <c r="I1653" t="str">
        <f t="shared" si="490"/>
        <v>0</v>
      </c>
      <c r="J1653" t="str">
        <f t="shared" si="502"/>
        <v>00</v>
      </c>
      <c r="K1653">
        <v>20150604</v>
      </c>
      <c r="L1653" t="str">
        <f>"015027"</f>
        <v>015027</v>
      </c>
      <c r="M1653" t="str">
        <f>"00030"</f>
        <v>00030</v>
      </c>
      <c r="N1653" t="s">
        <v>215</v>
      </c>
      <c r="O1653">
        <v>317.43</v>
      </c>
      <c r="Q1653" t="s">
        <v>33</v>
      </c>
      <c r="R1653" t="s">
        <v>34</v>
      </c>
      <c r="S1653" t="s">
        <v>35</v>
      </c>
      <c r="T1653" t="s">
        <v>35</v>
      </c>
      <c r="U1653" t="s">
        <v>34</v>
      </c>
      <c r="V1653" t="str">
        <f>""</f>
        <v/>
      </c>
      <c r="W1653">
        <v>20150602</v>
      </c>
      <c r="X1653" t="s">
        <v>216</v>
      </c>
      <c r="Y1653" t="s">
        <v>542</v>
      </c>
      <c r="Z1653" t="s">
        <v>542</v>
      </c>
      <c r="AA1653">
        <v>0</v>
      </c>
      <c r="AB1653" t="s">
        <v>142</v>
      </c>
      <c r="AC1653" t="s">
        <v>143</v>
      </c>
      <c r="AD1653" t="s">
        <v>40</v>
      </c>
      <c r="AE1653" t="str">
        <f t="shared" ref="AE1653:AE1684" si="511">"06"</f>
        <v>06</v>
      </c>
      <c r="AF1653" t="s">
        <v>40</v>
      </c>
    </row>
    <row r="1654" spans="1:32" x14ac:dyDescent="0.25">
      <c r="A1654">
        <v>5</v>
      </c>
      <c r="B1654">
        <v>420</v>
      </c>
      <c r="C1654" t="str">
        <f>"52"</f>
        <v>52</v>
      </c>
      <c r="D1654">
        <v>6219</v>
      </c>
      <c r="E1654" t="str">
        <f t="shared" ref="E1654:E1667" si="512">"00"</f>
        <v>00</v>
      </c>
      <c r="F1654" t="str">
        <f>"999"</f>
        <v>999</v>
      </c>
      <c r="G1654">
        <v>5</v>
      </c>
      <c r="H1654" t="str">
        <f t="shared" si="506"/>
        <v>99</v>
      </c>
      <c r="I1654" t="str">
        <f t="shared" si="490"/>
        <v>0</v>
      </c>
      <c r="J1654" t="str">
        <f t="shared" si="502"/>
        <v>00</v>
      </c>
      <c r="K1654">
        <v>20150604</v>
      </c>
      <c r="L1654" t="str">
        <f>"015028"</f>
        <v>015028</v>
      </c>
      <c r="M1654" t="str">
        <f>"00524"</f>
        <v>00524</v>
      </c>
      <c r="N1654" t="s">
        <v>896</v>
      </c>
      <c r="O1654">
        <v>480</v>
      </c>
      <c r="Q1654" t="s">
        <v>33</v>
      </c>
      <c r="R1654" t="s">
        <v>34</v>
      </c>
      <c r="S1654" t="s">
        <v>35</v>
      </c>
      <c r="T1654" t="s">
        <v>35</v>
      </c>
      <c r="U1654" t="s">
        <v>34</v>
      </c>
      <c r="V1654" t="str">
        <f>""</f>
        <v/>
      </c>
      <c r="W1654">
        <v>20150602</v>
      </c>
      <c r="X1654" t="s">
        <v>208</v>
      </c>
      <c r="Y1654" t="s">
        <v>897</v>
      </c>
      <c r="Z1654" t="s">
        <v>897</v>
      </c>
      <c r="AA1654">
        <v>0</v>
      </c>
      <c r="AB1654" t="s">
        <v>142</v>
      </c>
      <c r="AC1654" t="s">
        <v>143</v>
      </c>
      <c r="AD1654" t="s">
        <v>40</v>
      </c>
      <c r="AE1654" t="str">
        <f t="shared" si="511"/>
        <v>06</v>
      </c>
      <c r="AF1654" t="s">
        <v>40</v>
      </c>
    </row>
    <row r="1655" spans="1:32" x14ac:dyDescent="0.25">
      <c r="A1655">
        <v>5</v>
      </c>
      <c r="B1655">
        <v>420</v>
      </c>
      <c r="C1655" t="str">
        <f>"41"</f>
        <v>41</v>
      </c>
      <c r="D1655">
        <v>6219</v>
      </c>
      <c r="E1655" t="str">
        <f t="shared" si="512"/>
        <v>00</v>
      </c>
      <c r="F1655" t="str">
        <f>"750"</f>
        <v>750</v>
      </c>
      <c r="G1655">
        <v>5</v>
      </c>
      <c r="H1655" t="str">
        <f t="shared" si="506"/>
        <v>99</v>
      </c>
      <c r="I1655" t="str">
        <f t="shared" si="490"/>
        <v>0</v>
      </c>
      <c r="J1655" t="str">
        <f t="shared" si="502"/>
        <v>00</v>
      </c>
      <c r="K1655">
        <v>20150604</v>
      </c>
      <c r="L1655" t="str">
        <f>"015029"</f>
        <v>015029</v>
      </c>
      <c r="M1655" t="str">
        <f>"00414"</f>
        <v>00414</v>
      </c>
      <c r="N1655" t="s">
        <v>898</v>
      </c>
      <c r="O1655">
        <v>149</v>
      </c>
      <c r="Q1655" t="s">
        <v>33</v>
      </c>
      <c r="R1655" t="s">
        <v>34</v>
      </c>
      <c r="S1655" t="s">
        <v>35</v>
      </c>
      <c r="T1655" t="s">
        <v>35</v>
      </c>
      <c r="U1655" t="s">
        <v>34</v>
      </c>
      <c r="V1655" t="str">
        <f>""</f>
        <v/>
      </c>
      <c r="W1655">
        <v>20150602</v>
      </c>
      <c r="X1655" t="s">
        <v>255</v>
      </c>
      <c r="Y1655" t="s">
        <v>899</v>
      </c>
      <c r="Z1655" t="s">
        <v>899</v>
      </c>
      <c r="AA1655">
        <v>0</v>
      </c>
      <c r="AB1655" t="s">
        <v>142</v>
      </c>
      <c r="AC1655" t="s">
        <v>170</v>
      </c>
      <c r="AD1655" t="s">
        <v>40</v>
      </c>
      <c r="AE1655" t="str">
        <f t="shared" si="511"/>
        <v>06</v>
      </c>
      <c r="AF1655" t="s">
        <v>40</v>
      </c>
    </row>
    <row r="1656" spans="1:32" x14ac:dyDescent="0.25">
      <c r="A1656">
        <v>5</v>
      </c>
      <c r="B1656">
        <v>420</v>
      </c>
      <c r="C1656" t="str">
        <f>"11"</f>
        <v>11</v>
      </c>
      <c r="D1656">
        <v>6399</v>
      </c>
      <c r="E1656" t="str">
        <f t="shared" si="512"/>
        <v>00</v>
      </c>
      <c r="F1656" t="str">
        <f>"101"</f>
        <v>101</v>
      </c>
      <c r="G1656">
        <v>5</v>
      </c>
      <c r="H1656" t="str">
        <f>"11"</f>
        <v>11</v>
      </c>
      <c r="I1656" t="str">
        <f t="shared" si="490"/>
        <v>0</v>
      </c>
      <c r="J1656" t="str">
        <f t="shared" si="502"/>
        <v>00</v>
      </c>
      <c r="K1656">
        <v>20150604</v>
      </c>
      <c r="L1656" t="str">
        <f>"015030"</f>
        <v>015030</v>
      </c>
      <c r="M1656" t="str">
        <f>"00701"</f>
        <v>00701</v>
      </c>
      <c r="N1656" t="s">
        <v>120</v>
      </c>
      <c r="O1656">
        <v>85.44</v>
      </c>
      <c r="Q1656" t="s">
        <v>33</v>
      </c>
      <c r="R1656" t="s">
        <v>34</v>
      </c>
      <c r="S1656" t="s">
        <v>35</v>
      </c>
      <c r="T1656" t="s">
        <v>35</v>
      </c>
      <c r="U1656" t="s">
        <v>34</v>
      </c>
      <c r="V1656" t="str">
        <f>""</f>
        <v/>
      </c>
      <c r="W1656">
        <v>20150603</v>
      </c>
      <c r="X1656" t="s">
        <v>246</v>
      </c>
      <c r="Y1656" t="s">
        <v>892</v>
      </c>
      <c r="Z1656" t="s">
        <v>892</v>
      </c>
      <c r="AA1656">
        <v>0</v>
      </c>
      <c r="AB1656" t="s">
        <v>142</v>
      </c>
      <c r="AC1656" t="s">
        <v>41</v>
      </c>
      <c r="AD1656" t="s">
        <v>40</v>
      </c>
      <c r="AE1656" t="str">
        <f t="shared" si="511"/>
        <v>06</v>
      </c>
      <c r="AF1656" t="s">
        <v>40</v>
      </c>
    </row>
    <row r="1657" spans="1:32" x14ac:dyDescent="0.25">
      <c r="A1657">
        <v>5</v>
      </c>
      <c r="B1657">
        <v>420</v>
      </c>
      <c r="C1657" t="str">
        <f>"11"</f>
        <v>11</v>
      </c>
      <c r="D1657">
        <v>6269</v>
      </c>
      <c r="E1657" t="str">
        <f t="shared" si="512"/>
        <v>00</v>
      </c>
      <c r="F1657" t="str">
        <f>"999"</f>
        <v>999</v>
      </c>
      <c r="G1657">
        <v>5</v>
      </c>
      <c r="H1657" t="str">
        <f>"11"</f>
        <v>11</v>
      </c>
      <c r="I1657" t="str">
        <f t="shared" si="490"/>
        <v>0</v>
      </c>
      <c r="J1657" t="str">
        <f t="shared" si="502"/>
        <v>00</v>
      </c>
      <c r="K1657">
        <v>20150609</v>
      </c>
      <c r="L1657" t="str">
        <f>"015031"</f>
        <v>015031</v>
      </c>
      <c r="M1657" t="str">
        <f>"00628"</f>
        <v>00628</v>
      </c>
      <c r="N1657" t="s">
        <v>212</v>
      </c>
      <c r="O1657">
        <v>439.35</v>
      </c>
      <c r="Q1657" t="s">
        <v>33</v>
      </c>
      <c r="R1657" t="s">
        <v>34</v>
      </c>
      <c r="S1657" t="s">
        <v>35</v>
      </c>
      <c r="T1657" t="s">
        <v>35</v>
      </c>
      <c r="U1657" t="s">
        <v>34</v>
      </c>
      <c r="V1657" t="str">
        <f>""</f>
        <v/>
      </c>
      <c r="W1657">
        <v>20150605</v>
      </c>
      <c r="X1657" t="s">
        <v>213</v>
      </c>
      <c r="Y1657" t="s">
        <v>231</v>
      </c>
      <c r="Z1657" t="s">
        <v>231</v>
      </c>
      <c r="AA1657">
        <v>0</v>
      </c>
      <c r="AB1657" t="s">
        <v>142</v>
      </c>
      <c r="AC1657" t="s">
        <v>143</v>
      </c>
      <c r="AD1657" t="s">
        <v>40</v>
      </c>
      <c r="AE1657" t="str">
        <f t="shared" si="511"/>
        <v>06</v>
      </c>
      <c r="AF1657" t="s">
        <v>40</v>
      </c>
    </row>
    <row r="1658" spans="1:32" x14ac:dyDescent="0.25">
      <c r="A1658">
        <v>5</v>
      </c>
      <c r="B1658">
        <v>420</v>
      </c>
      <c r="C1658" t="str">
        <f>"52"</f>
        <v>52</v>
      </c>
      <c r="D1658">
        <v>6219</v>
      </c>
      <c r="E1658" t="str">
        <f t="shared" si="512"/>
        <v>00</v>
      </c>
      <c r="F1658" t="str">
        <f>"999"</f>
        <v>999</v>
      </c>
      <c r="G1658">
        <v>5</v>
      </c>
      <c r="H1658" t="str">
        <f>"99"</f>
        <v>99</v>
      </c>
      <c r="I1658" t="str">
        <f t="shared" si="490"/>
        <v>0</v>
      </c>
      <c r="J1658" t="str">
        <f t="shared" si="502"/>
        <v>00</v>
      </c>
      <c r="K1658">
        <v>20150609</v>
      </c>
      <c r="L1658" t="str">
        <f>"015032"</f>
        <v>015032</v>
      </c>
      <c r="M1658" t="str">
        <f>"00392"</f>
        <v>00392</v>
      </c>
      <c r="N1658" t="s">
        <v>218</v>
      </c>
      <c r="O1658">
        <v>35.950000000000003</v>
      </c>
      <c r="Q1658" t="s">
        <v>33</v>
      </c>
      <c r="R1658" t="s">
        <v>34</v>
      </c>
      <c r="S1658" t="s">
        <v>35</v>
      </c>
      <c r="T1658" t="s">
        <v>35</v>
      </c>
      <c r="U1658" t="s">
        <v>34</v>
      </c>
      <c r="V1658" t="str">
        <f>""</f>
        <v/>
      </c>
      <c r="W1658">
        <v>20150609</v>
      </c>
      <c r="X1658" t="s">
        <v>208</v>
      </c>
      <c r="Y1658" t="s">
        <v>616</v>
      </c>
      <c r="Z1658" t="s">
        <v>616</v>
      </c>
      <c r="AA1658">
        <v>0</v>
      </c>
      <c r="AB1658" t="s">
        <v>142</v>
      </c>
      <c r="AC1658" t="s">
        <v>143</v>
      </c>
      <c r="AD1658" t="s">
        <v>40</v>
      </c>
      <c r="AE1658" t="str">
        <f t="shared" si="511"/>
        <v>06</v>
      </c>
      <c r="AF1658" t="s">
        <v>40</v>
      </c>
    </row>
    <row r="1659" spans="1:32" x14ac:dyDescent="0.25">
      <c r="A1659">
        <v>5</v>
      </c>
      <c r="B1659">
        <v>420</v>
      </c>
      <c r="C1659" t="str">
        <f>"51"</f>
        <v>51</v>
      </c>
      <c r="D1659">
        <v>6319</v>
      </c>
      <c r="E1659" t="str">
        <f t="shared" si="512"/>
        <v>00</v>
      </c>
      <c r="F1659" t="str">
        <f>"999"</f>
        <v>999</v>
      </c>
      <c r="G1659">
        <v>5</v>
      </c>
      <c r="H1659" t="str">
        <f>"99"</f>
        <v>99</v>
      </c>
      <c r="I1659" t="str">
        <f t="shared" si="490"/>
        <v>0</v>
      </c>
      <c r="J1659" t="str">
        <f t="shared" si="502"/>
        <v>00</v>
      </c>
      <c r="K1659">
        <v>20150609</v>
      </c>
      <c r="L1659" t="str">
        <f>"015033"</f>
        <v>015033</v>
      </c>
      <c r="M1659" t="str">
        <f>"00671"</f>
        <v>00671</v>
      </c>
      <c r="N1659" t="s">
        <v>605</v>
      </c>
      <c r="O1659">
        <v>47.84</v>
      </c>
      <c r="Q1659" t="s">
        <v>33</v>
      </c>
      <c r="R1659" t="s">
        <v>34</v>
      </c>
      <c r="S1659" t="s">
        <v>35</v>
      </c>
      <c r="T1659" t="s">
        <v>35</v>
      </c>
      <c r="U1659" t="s">
        <v>34</v>
      </c>
      <c r="V1659" t="str">
        <f>""</f>
        <v/>
      </c>
      <c r="W1659">
        <v>20150609</v>
      </c>
      <c r="X1659" t="s">
        <v>185</v>
      </c>
      <c r="Y1659" t="s">
        <v>900</v>
      </c>
      <c r="Z1659" t="s">
        <v>900</v>
      </c>
      <c r="AA1659">
        <v>0</v>
      </c>
      <c r="AB1659" t="s">
        <v>142</v>
      </c>
      <c r="AC1659" t="s">
        <v>143</v>
      </c>
      <c r="AD1659" t="s">
        <v>40</v>
      </c>
      <c r="AE1659" t="str">
        <f t="shared" si="511"/>
        <v>06</v>
      </c>
      <c r="AF1659" t="s">
        <v>40</v>
      </c>
    </row>
    <row r="1660" spans="1:32" x14ac:dyDescent="0.25">
      <c r="A1660">
        <v>5</v>
      </c>
      <c r="B1660">
        <v>420</v>
      </c>
      <c r="C1660" t="str">
        <f>"11"</f>
        <v>11</v>
      </c>
      <c r="D1660">
        <v>6219</v>
      </c>
      <c r="E1660" t="str">
        <f t="shared" si="512"/>
        <v>00</v>
      </c>
      <c r="F1660" t="str">
        <f>"999"</f>
        <v>999</v>
      </c>
      <c r="G1660">
        <v>5</v>
      </c>
      <c r="H1660" t="str">
        <f>"11"</f>
        <v>11</v>
      </c>
      <c r="I1660" t="str">
        <f t="shared" si="490"/>
        <v>0</v>
      </c>
      <c r="J1660" t="str">
        <f t="shared" si="502"/>
        <v>00</v>
      </c>
      <c r="K1660">
        <v>20150609</v>
      </c>
      <c r="L1660" t="str">
        <f>"015034"</f>
        <v>015034</v>
      </c>
      <c r="M1660" t="str">
        <f>"00505"</f>
        <v>00505</v>
      </c>
      <c r="N1660" t="s">
        <v>901</v>
      </c>
      <c r="O1660" s="1">
        <v>1665.5</v>
      </c>
      <c r="Q1660" t="s">
        <v>33</v>
      </c>
      <c r="R1660" t="s">
        <v>34</v>
      </c>
      <c r="S1660" t="s">
        <v>35</v>
      </c>
      <c r="T1660" t="s">
        <v>35</v>
      </c>
      <c r="U1660" t="s">
        <v>34</v>
      </c>
      <c r="V1660" t="str">
        <f>""</f>
        <v/>
      </c>
      <c r="W1660">
        <v>20150608</v>
      </c>
      <c r="X1660" t="s">
        <v>166</v>
      </c>
      <c r="Y1660" t="s">
        <v>902</v>
      </c>
      <c r="Z1660" t="s">
        <v>902</v>
      </c>
      <c r="AA1660">
        <v>0</v>
      </c>
      <c r="AB1660" t="s">
        <v>142</v>
      </c>
      <c r="AC1660" t="s">
        <v>143</v>
      </c>
      <c r="AD1660" t="s">
        <v>40</v>
      </c>
      <c r="AE1660" t="str">
        <f t="shared" si="511"/>
        <v>06</v>
      </c>
      <c r="AF1660" t="s">
        <v>40</v>
      </c>
    </row>
    <row r="1661" spans="1:32" x14ac:dyDescent="0.25">
      <c r="A1661">
        <v>5</v>
      </c>
      <c r="B1661">
        <v>420</v>
      </c>
      <c r="C1661" t="str">
        <f>"11"</f>
        <v>11</v>
      </c>
      <c r="D1661">
        <v>6399</v>
      </c>
      <c r="E1661" t="str">
        <f t="shared" si="512"/>
        <v>00</v>
      </c>
      <c r="F1661" t="str">
        <f>"001"</f>
        <v>001</v>
      </c>
      <c r="G1661">
        <v>5</v>
      </c>
      <c r="H1661" t="str">
        <f>"11"</f>
        <v>11</v>
      </c>
      <c r="I1661" t="str">
        <f t="shared" si="490"/>
        <v>0</v>
      </c>
      <c r="J1661" t="str">
        <f t="shared" si="502"/>
        <v>00</v>
      </c>
      <c r="K1661">
        <v>20150609</v>
      </c>
      <c r="L1661" t="str">
        <f>"015035"</f>
        <v>015035</v>
      </c>
      <c r="M1661" t="str">
        <f>"00196"</f>
        <v>00196</v>
      </c>
      <c r="N1661" t="s">
        <v>654</v>
      </c>
      <c r="O1661">
        <v>540.87</v>
      </c>
      <c r="Q1661" t="s">
        <v>33</v>
      </c>
      <c r="R1661" t="s">
        <v>34</v>
      </c>
      <c r="S1661" t="s">
        <v>35</v>
      </c>
      <c r="T1661" t="s">
        <v>35</v>
      </c>
      <c r="U1661" t="s">
        <v>34</v>
      </c>
      <c r="V1661" t="str">
        <f>""</f>
        <v/>
      </c>
      <c r="W1661">
        <v>20150605</v>
      </c>
      <c r="X1661" t="s">
        <v>239</v>
      </c>
      <c r="Y1661" t="s">
        <v>903</v>
      </c>
      <c r="Z1661" t="s">
        <v>903</v>
      </c>
      <c r="AA1661">
        <v>0</v>
      </c>
      <c r="AB1661" t="s">
        <v>142</v>
      </c>
      <c r="AC1661" t="s">
        <v>41</v>
      </c>
      <c r="AD1661" t="s">
        <v>40</v>
      </c>
      <c r="AE1661" t="str">
        <f t="shared" si="511"/>
        <v>06</v>
      </c>
      <c r="AF1661" t="s">
        <v>40</v>
      </c>
    </row>
    <row r="1662" spans="1:32" x14ac:dyDescent="0.25">
      <c r="A1662">
        <v>5</v>
      </c>
      <c r="B1662">
        <v>240</v>
      </c>
      <c r="C1662" t="str">
        <f>"35"</f>
        <v>35</v>
      </c>
      <c r="D1662">
        <v>6319</v>
      </c>
      <c r="E1662" t="str">
        <f t="shared" si="512"/>
        <v>00</v>
      </c>
      <c r="F1662" t="str">
        <f t="shared" ref="F1662:F1681" si="513">"999"</f>
        <v>999</v>
      </c>
      <c r="G1662">
        <v>5</v>
      </c>
      <c r="H1662" t="str">
        <f>"99"</f>
        <v>99</v>
      </c>
      <c r="I1662" t="str">
        <f t="shared" si="490"/>
        <v>0</v>
      </c>
      <c r="J1662" t="str">
        <f t="shared" ref="J1662:J1693" si="514">"00"</f>
        <v>00</v>
      </c>
      <c r="K1662">
        <v>20150609</v>
      </c>
      <c r="L1662" t="str">
        <f>"015036"</f>
        <v>015036</v>
      </c>
      <c r="M1662" t="str">
        <f>"00248"</f>
        <v>00248</v>
      </c>
      <c r="N1662" t="s">
        <v>830</v>
      </c>
      <c r="O1662">
        <v>383.65</v>
      </c>
      <c r="Q1662" t="s">
        <v>33</v>
      </c>
      <c r="R1662" t="s">
        <v>34</v>
      </c>
      <c r="S1662" t="s">
        <v>35</v>
      </c>
      <c r="T1662" t="s">
        <v>35</v>
      </c>
      <c r="U1662" t="s">
        <v>34</v>
      </c>
      <c r="V1662" t="str">
        <f>""</f>
        <v/>
      </c>
      <c r="W1662">
        <v>20150605</v>
      </c>
      <c r="X1662" t="s">
        <v>267</v>
      </c>
      <c r="Y1662" t="s">
        <v>904</v>
      </c>
      <c r="Z1662" t="s">
        <v>904</v>
      </c>
      <c r="AA1662">
        <v>0</v>
      </c>
      <c r="AB1662" t="s">
        <v>238</v>
      </c>
      <c r="AC1662" t="s">
        <v>143</v>
      </c>
      <c r="AD1662" t="s">
        <v>40</v>
      </c>
      <c r="AE1662" t="str">
        <f t="shared" si="511"/>
        <v>06</v>
      </c>
      <c r="AF1662" t="s">
        <v>40</v>
      </c>
    </row>
    <row r="1663" spans="1:32" x14ac:dyDescent="0.25">
      <c r="A1663">
        <v>5</v>
      </c>
      <c r="B1663">
        <v>420</v>
      </c>
      <c r="C1663" t="str">
        <f>"11"</f>
        <v>11</v>
      </c>
      <c r="D1663">
        <v>6411</v>
      </c>
      <c r="E1663" t="str">
        <f t="shared" si="512"/>
        <v>00</v>
      </c>
      <c r="F1663" t="str">
        <f t="shared" si="513"/>
        <v>999</v>
      </c>
      <c r="G1663">
        <v>5</v>
      </c>
      <c r="H1663" t="str">
        <f>"11"</f>
        <v>11</v>
      </c>
      <c r="I1663" t="str">
        <f t="shared" si="490"/>
        <v>0</v>
      </c>
      <c r="J1663" t="str">
        <f t="shared" si="514"/>
        <v>00</v>
      </c>
      <c r="K1663">
        <v>20150609</v>
      </c>
      <c r="L1663" t="str">
        <f>"015037"</f>
        <v>015037</v>
      </c>
      <c r="M1663" t="str">
        <f>"00825"</f>
        <v>00825</v>
      </c>
      <c r="N1663" t="s">
        <v>870</v>
      </c>
      <c r="O1663">
        <v>27.8</v>
      </c>
      <c r="Q1663" t="s">
        <v>33</v>
      </c>
      <c r="R1663" t="s">
        <v>34</v>
      </c>
      <c r="S1663" t="s">
        <v>35</v>
      </c>
      <c r="T1663" t="s">
        <v>35</v>
      </c>
      <c r="U1663" t="s">
        <v>34</v>
      </c>
      <c r="V1663" t="str">
        <f>""</f>
        <v/>
      </c>
      <c r="W1663">
        <v>20150605</v>
      </c>
      <c r="X1663" t="s">
        <v>328</v>
      </c>
      <c r="Y1663" t="s">
        <v>867</v>
      </c>
      <c r="Z1663" t="s">
        <v>867</v>
      </c>
      <c r="AA1663">
        <v>0</v>
      </c>
      <c r="AB1663" t="s">
        <v>142</v>
      </c>
      <c r="AC1663" t="s">
        <v>143</v>
      </c>
      <c r="AD1663" t="s">
        <v>40</v>
      </c>
      <c r="AE1663" t="str">
        <f t="shared" si="511"/>
        <v>06</v>
      </c>
      <c r="AF1663" t="s">
        <v>40</v>
      </c>
    </row>
    <row r="1664" spans="1:32" x14ac:dyDescent="0.25">
      <c r="A1664">
        <v>5</v>
      </c>
      <c r="B1664">
        <v>420</v>
      </c>
      <c r="C1664" t="str">
        <f>"11"</f>
        <v>11</v>
      </c>
      <c r="D1664">
        <v>6411</v>
      </c>
      <c r="E1664" t="str">
        <f t="shared" si="512"/>
        <v>00</v>
      </c>
      <c r="F1664" t="str">
        <f t="shared" si="513"/>
        <v>999</v>
      </c>
      <c r="G1664">
        <v>5</v>
      </c>
      <c r="H1664" t="str">
        <f>"11"</f>
        <v>11</v>
      </c>
      <c r="I1664" t="str">
        <f t="shared" si="490"/>
        <v>0</v>
      </c>
      <c r="J1664" t="str">
        <f t="shared" si="514"/>
        <v>00</v>
      </c>
      <c r="K1664">
        <v>20150609</v>
      </c>
      <c r="L1664" t="str">
        <f>"015037"</f>
        <v>015037</v>
      </c>
      <c r="M1664" t="str">
        <f>"00825"</f>
        <v>00825</v>
      </c>
      <c r="N1664" t="s">
        <v>870</v>
      </c>
      <c r="O1664">
        <v>20.85</v>
      </c>
      <c r="Q1664" t="s">
        <v>33</v>
      </c>
      <c r="R1664" t="s">
        <v>34</v>
      </c>
      <c r="S1664" t="s">
        <v>35</v>
      </c>
      <c r="T1664" t="s">
        <v>35</v>
      </c>
      <c r="U1664" t="s">
        <v>34</v>
      </c>
      <c r="V1664" t="str">
        <f>""</f>
        <v/>
      </c>
      <c r="W1664">
        <v>20150605</v>
      </c>
      <c r="X1664" t="s">
        <v>328</v>
      </c>
      <c r="Y1664" t="s">
        <v>867</v>
      </c>
      <c r="Z1664" t="s">
        <v>867</v>
      </c>
      <c r="AA1664">
        <v>0</v>
      </c>
      <c r="AB1664" t="s">
        <v>142</v>
      </c>
      <c r="AC1664" t="s">
        <v>143</v>
      </c>
      <c r="AD1664" t="s">
        <v>40</v>
      </c>
      <c r="AE1664" t="str">
        <f t="shared" si="511"/>
        <v>06</v>
      </c>
      <c r="AF1664" t="s">
        <v>40</v>
      </c>
    </row>
    <row r="1665" spans="1:32" x14ac:dyDescent="0.25">
      <c r="A1665">
        <v>5</v>
      </c>
      <c r="B1665">
        <v>420</v>
      </c>
      <c r="C1665" t="str">
        <f>"11"</f>
        <v>11</v>
      </c>
      <c r="D1665">
        <v>6411</v>
      </c>
      <c r="E1665" t="str">
        <f t="shared" si="512"/>
        <v>00</v>
      </c>
      <c r="F1665" t="str">
        <f t="shared" si="513"/>
        <v>999</v>
      </c>
      <c r="G1665">
        <v>5</v>
      </c>
      <c r="H1665" t="str">
        <f>"11"</f>
        <v>11</v>
      </c>
      <c r="I1665" t="str">
        <f t="shared" si="490"/>
        <v>0</v>
      </c>
      <c r="J1665" t="str">
        <f t="shared" si="514"/>
        <v>00</v>
      </c>
      <c r="K1665">
        <v>20150609</v>
      </c>
      <c r="L1665" t="str">
        <f>"015037"</f>
        <v>015037</v>
      </c>
      <c r="M1665" t="str">
        <f>"00825"</f>
        <v>00825</v>
      </c>
      <c r="N1665" t="s">
        <v>870</v>
      </c>
      <c r="O1665">
        <v>20.85</v>
      </c>
      <c r="Q1665" t="s">
        <v>33</v>
      </c>
      <c r="R1665" t="s">
        <v>34</v>
      </c>
      <c r="S1665" t="s">
        <v>35</v>
      </c>
      <c r="T1665" t="s">
        <v>35</v>
      </c>
      <c r="U1665" t="s">
        <v>34</v>
      </c>
      <c r="V1665" t="str">
        <f>""</f>
        <v/>
      </c>
      <c r="W1665">
        <v>20150605</v>
      </c>
      <c r="X1665" t="s">
        <v>328</v>
      </c>
      <c r="Y1665" t="s">
        <v>867</v>
      </c>
      <c r="Z1665" t="s">
        <v>867</v>
      </c>
      <c r="AA1665">
        <v>0</v>
      </c>
      <c r="AB1665" t="s">
        <v>142</v>
      </c>
      <c r="AC1665" t="s">
        <v>143</v>
      </c>
      <c r="AD1665" t="s">
        <v>40</v>
      </c>
      <c r="AE1665" t="str">
        <f t="shared" si="511"/>
        <v>06</v>
      </c>
      <c r="AF1665" t="s">
        <v>40</v>
      </c>
    </row>
    <row r="1666" spans="1:32" x14ac:dyDescent="0.25">
      <c r="A1666">
        <v>5</v>
      </c>
      <c r="B1666">
        <v>420</v>
      </c>
      <c r="C1666" t="str">
        <f>"11"</f>
        <v>11</v>
      </c>
      <c r="D1666">
        <v>6411</v>
      </c>
      <c r="E1666" t="str">
        <f t="shared" si="512"/>
        <v>00</v>
      </c>
      <c r="F1666" t="str">
        <f t="shared" si="513"/>
        <v>999</v>
      </c>
      <c r="G1666">
        <v>5</v>
      </c>
      <c r="H1666" t="str">
        <f>"11"</f>
        <v>11</v>
      </c>
      <c r="I1666" t="str">
        <f t="shared" ref="I1666:I1729" si="515">"0"</f>
        <v>0</v>
      </c>
      <c r="J1666" t="str">
        <f t="shared" si="514"/>
        <v>00</v>
      </c>
      <c r="K1666">
        <v>20150609</v>
      </c>
      <c r="L1666" t="str">
        <f>"015037"</f>
        <v>015037</v>
      </c>
      <c r="M1666" t="str">
        <f>"00825"</f>
        <v>00825</v>
      </c>
      <c r="N1666" t="s">
        <v>870</v>
      </c>
      <c r="O1666">
        <v>20.85</v>
      </c>
      <c r="Q1666" t="s">
        <v>33</v>
      </c>
      <c r="R1666" t="s">
        <v>34</v>
      </c>
      <c r="S1666" t="s">
        <v>35</v>
      </c>
      <c r="T1666" t="s">
        <v>35</v>
      </c>
      <c r="U1666" t="s">
        <v>34</v>
      </c>
      <c r="V1666" t="str">
        <f>""</f>
        <v/>
      </c>
      <c r="W1666">
        <v>20150608</v>
      </c>
      <c r="X1666" t="s">
        <v>328</v>
      </c>
      <c r="Y1666" t="s">
        <v>867</v>
      </c>
      <c r="Z1666" t="s">
        <v>867</v>
      </c>
      <c r="AA1666">
        <v>0</v>
      </c>
      <c r="AB1666" t="s">
        <v>142</v>
      </c>
      <c r="AC1666" t="s">
        <v>143</v>
      </c>
      <c r="AD1666" t="s">
        <v>40</v>
      </c>
      <c r="AE1666" t="str">
        <f t="shared" si="511"/>
        <v>06</v>
      </c>
      <c r="AF1666" t="s">
        <v>40</v>
      </c>
    </row>
    <row r="1667" spans="1:32" x14ac:dyDescent="0.25">
      <c r="A1667">
        <v>5</v>
      </c>
      <c r="B1667">
        <v>420</v>
      </c>
      <c r="C1667" t="str">
        <f>"11"</f>
        <v>11</v>
      </c>
      <c r="D1667">
        <v>6411</v>
      </c>
      <c r="E1667" t="str">
        <f t="shared" si="512"/>
        <v>00</v>
      </c>
      <c r="F1667" t="str">
        <f t="shared" si="513"/>
        <v>999</v>
      </c>
      <c r="G1667">
        <v>5</v>
      </c>
      <c r="H1667" t="str">
        <f>"11"</f>
        <v>11</v>
      </c>
      <c r="I1667" t="str">
        <f t="shared" si="515"/>
        <v>0</v>
      </c>
      <c r="J1667" t="str">
        <f t="shared" si="514"/>
        <v>00</v>
      </c>
      <c r="K1667">
        <v>20150609</v>
      </c>
      <c r="L1667" t="str">
        <f>"015037"</f>
        <v>015037</v>
      </c>
      <c r="M1667" t="str">
        <f>"00825"</f>
        <v>00825</v>
      </c>
      <c r="N1667" t="s">
        <v>870</v>
      </c>
      <c r="O1667">
        <v>20.85</v>
      </c>
      <c r="Q1667" t="s">
        <v>33</v>
      </c>
      <c r="R1667" t="s">
        <v>34</v>
      </c>
      <c r="S1667" t="s">
        <v>35</v>
      </c>
      <c r="T1667" t="s">
        <v>35</v>
      </c>
      <c r="U1667" t="s">
        <v>34</v>
      </c>
      <c r="V1667" t="str">
        <f>""</f>
        <v/>
      </c>
      <c r="W1667">
        <v>20150608</v>
      </c>
      <c r="X1667" t="s">
        <v>328</v>
      </c>
      <c r="Y1667" t="s">
        <v>867</v>
      </c>
      <c r="Z1667" t="s">
        <v>867</v>
      </c>
      <c r="AA1667">
        <v>0</v>
      </c>
      <c r="AB1667" t="s">
        <v>142</v>
      </c>
      <c r="AC1667" t="s">
        <v>143</v>
      </c>
      <c r="AD1667" t="s">
        <v>40</v>
      </c>
      <c r="AE1667" t="str">
        <f t="shared" si="511"/>
        <v>06</v>
      </c>
      <c r="AF1667" t="s">
        <v>40</v>
      </c>
    </row>
    <row r="1668" spans="1:32" x14ac:dyDescent="0.25">
      <c r="A1668">
        <v>5</v>
      </c>
      <c r="B1668">
        <v>420</v>
      </c>
      <c r="C1668" t="str">
        <f>"51"</f>
        <v>51</v>
      </c>
      <c r="D1668">
        <v>6259</v>
      </c>
      <c r="E1668" t="str">
        <f>"55"</f>
        <v>55</v>
      </c>
      <c r="F1668" t="str">
        <f t="shared" si="513"/>
        <v>999</v>
      </c>
      <c r="G1668">
        <v>5</v>
      </c>
      <c r="H1668" t="str">
        <f>"99"</f>
        <v>99</v>
      </c>
      <c r="I1668" t="str">
        <f t="shared" si="515"/>
        <v>0</v>
      </c>
      <c r="J1668" t="str">
        <f t="shared" si="514"/>
        <v>00</v>
      </c>
      <c r="K1668">
        <v>20150609</v>
      </c>
      <c r="L1668" t="str">
        <f>"015038"</f>
        <v>015038</v>
      </c>
      <c r="M1668" t="str">
        <f>"00162"</f>
        <v>00162</v>
      </c>
      <c r="N1668" t="s">
        <v>242</v>
      </c>
      <c r="O1668">
        <v>690.14</v>
      </c>
      <c r="Q1668" t="s">
        <v>33</v>
      </c>
      <c r="R1668" t="s">
        <v>34</v>
      </c>
      <c r="S1668" t="s">
        <v>35</v>
      </c>
      <c r="T1668" t="s">
        <v>35</v>
      </c>
      <c r="U1668" t="s">
        <v>34</v>
      </c>
      <c r="V1668" t="str">
        <f>""</f>
        <v/>
      </c>
      <c r="W1668">
        <v>20150609</v>
      </c>
      <c r="X1668" t="s">
        <v>243</v>
      </c>
      <c r="Y1668" t="s">
        <v>244</v>
      </c>
      <c r="Z1668" t="s">
        <v>244</v>
      </c>
      <c r="AA1668">
        <v>0</v>
      </c>
      <c r="AB1668" t="s">
        <v>142</v>
      </c>
      <c r="AC1668" t="s">
        <v>143</v>
      </c>
      <c r="AD1668" t="s">
        <v>40</v>
      </c>
      <c r="AE1668" t="str">
        <f t="shared" si="511"/>
        <v>06</v>
      </c>
      <c r="AF1668" t="s">
        <v>40</v>
      </c>
    </row>
    <row r="1669" spans="1:32" x14ac:dyDescent="0.25">
      <c r="A1669">
        <v>5</v>
      </c>
      <c r="B1669">
        <v>224</v>
      </c>
      <c r="C1669" t="str">
        <f>"11"</f>
        <v>11</v>
      </c>
      <c r="D1669">
        <v>6399</v>
      </c>
      <c r="E1669" t="str">
        <f>"00"</f>
        <v>00</v>
      </c>
      <c r="F1669" t="str">
        <f t="shared" si="513"/>
        <v>999</v>
      </c>
      <c r="G1669">
        <v>5</v>
      </c>
      <c r="H1669" t="str">
        <f>"23"</f>
        <v>23</v>
      </c>
      <c r="I1669" t="str">
        <f t="shared" si="515"/>
        <v>0</v>
      </c>
      <c r="J1669" t="str">
        <f t="shared" si="514"/>
        <v>00</v>
      </c>
      <c r="K1669">
        <v>20150609</v>
      </c>
      <c r="L1669" t="str">
        <f>"015039"</f>
        <v>015039</v>
      </c>
      <c r="M1669" t="str">
        <f>"00834"</f>
        <v>00834</v>
      </c>
      <c r="N1669" t="s">
        <v>905</v>
      </c>
      <c r="O1669" s="1">
        <v>5633.4</v>
      </c>
      <c r="Q1669" t="s">
        <v>33</v>
      </c>
      <c r="R1669" t="s">
        <v>34</v>
      </c>
      <c r="S1669" t="s">
        <v>35</v>
      </c>
      <c r="T1669" t="s">
        <v>35</v>
      </c>
      <c r="U1669" t="s">
        <v>34</v>
      </c>
      <c r="V1669" t="str">
        <f>""</f>
        <v/>
      </c>
      <c r="W1669">
        <v>20150605</v>
      </c>
      <c r="X1669" t="s">
        <v>727</v>
      </c>
      <c r="Y1669" t="s">
        <v>906</v>
      </c>
      <c r="Z1669" t="s">
        <v>906</v>
      </c>
      <c r="AA1669">
        <v>0</v>
      </c>
      <c r="AB1669" t="s">
        <v>211</v>
      </c>
      <c r="AC1669" t="s">
        <v>143</v>
      </c>
      <c r="AD1669" t="s">
        <v>40</v>
      </c>
      <c r="AE1669" t="str">
        <f t="shared" si="511"/>
        <v>06</v>
      </c>
      <c r="AF1669" t="s">
        <v>40</v>
      </c>
    </row>
    <row r="1670" spans="1:32" x14ac:dyDescent="0.25">
      <c r="A1670">
        <v>5</v>
      </c>
      <c r="B1670">
        <v>240</v>
      </c>
      <c r="C1670" t="str">
        <f>"35"</f>
        <v>35</v>
      </c>
      <c r="D1670">
        <v>6341</v>
      </c>
      <c r="E1670" t="str">
        <f>"00"</f>
        <v>00</v>
      </c>
      <c r="F1670" t="str">
        <f t="shared" si="513"/>
        <v>999</v>
      </c>
      <c r="G1670">
        <v>5</v>
      </c>
      <c r="H1670" t="str">
        <f t="shared" ref="H1670:H1675" si="516">"99"</f>
        <v>99</v>
      </c>
      <c r="I1670" t="str">
        <f t="shared" si="515"/>
        <v>0</v>
      </c>
      <c r="J1670" t="str">
        <f t="shared" si="514"/>
        <v>00</v>
      </c>
      <c r="K1670">
        <v>20150609</v>
      </c>
      <c r="L1670" t="str">
        <f>"015040"</f>
        <v>015040</v>
      </c>
      <c r="M1670" t="str">
        <f>"00391"</f>
        <v>00391</v>
      </c>
      <c r="N1670" t="s">
        <v>857</v>
      </c>
      <c r="O1670">
        <v>131.6</v>
      </c>
      <c r="Q1670" t="s">
        <v>33</v>
      </c>
      <c r="R1670" t="s">
        <v>34</v>
      </c>
      <c r="S1670" t="s">
        <v>35</v>
      </c>
      <c r="T1670" t="s">
        <v>35</v>
      </c>
      <c r="U1670" t="s">
        <v>34</v>
      </c>
      <c r="V1670" t="str">
        <f>""</f>
        <v/>
      </c>
      <c r="W1670">
        <v>20150608</v>
      </c>
      <c r="X1670" t="s">
        <v>268</v>
      </c>
      <c r="Y1670" t="s">
        <v>573</v>
      </c>
      <c r="Z1670" t="s">
        <v>573</v>
      </c>
      <c r="AA1670">
        <v>0</v>
      </c>
      <c r="AB1670" t="s">
        <v>238</v>
      </c>
      <c r="AC1670" t="s">
        <v>143</v>
      </c>
      <c r="AD1670" t="s">
        <v>40</v>
      </c>
      <c r="AE1670" t="str">
        <f t="shared" si="511"/>
        <v>06</v>
      </c>
      <c r="AF1670" t="s">
        <v>40</v>
      </c>
    </row>
    <row r="1671" spans="1:32" x14ac:dyDescent="0.25">
      <c r="A1671">
        <v>5</v>
      </c>
      <c r="B1671">
        <v>240</v>
      </c>
      <c r="C1671" t="str">
        <f>"35"</f>
        <v>35</v>
      </c>
      <c r="D1671">
        <v>6342</v>
      </c>
      <c r="E1671" t="str">
        <f>"00"</f>
        <v>00</v>
      </c>
      <c r="F1671" t="str">
        <f t="shared" si="513"/>
        <v>999</v>
      </c>
      <c r="G1671">
        <v>5</v>
      </c>
      <c r="H1671" t="str">
        <f t="shared" si="516"/>
        <v>99</v>
      </c>
      <c r="I1671" t="str">
        <f t="shared" si="515"/>
        <v>0</v>
      </c>
      <c r="J1671" t="str">
        <f t="shared" si="514"/>
        <v>00</v>
      </c>
      <c r="K1671">
        <v>20150609</v>
      </c>
      <c r="L1671" t="str">
        <f>"015040"</f>
        <v>015040</v>
      </c>
      <c r="M1671" t="str">
        <f>"00391"</f>
        <v>00391</v>
      </c>
      <c r="N1671" t="s">
        <v>857</v>
      </c>
      <c r="O1671">
        <v>36.4</v>
      </c>
      <c r="Q1671" t="s">
        <v>33</v>
      </c>
      <c r="R1671" t="s">
        <v>34</v>
      </c>
      <c r="S1671" t="s">
        <v>35</v>
      </c>
      <c r="T1671" t="s">
        <v>35</v>
      </c>
      <c r="U1671" t="s">
        <v>34</v>
      </c>
      <c r="V1671" t="str">
        <f>""</f>
        <v/>
      </c>
      <c r="W1671">
        <v>20150608</v>
      </c>
      <c r="X1671" t="s">
        <v>269</v>
      </c>
      <c r="Y1671" t="s">
        <v>573</v>
      </c>
      <c r="Z1671" t="s">
        <v>573</v>
      </c>
      <c r="AA1671">
        <v>0</v>
      </c>
      <c r="AB1671" t="s">
        <v>238</v>
      </c>
      <c r="AC1671" t="s">
        <v>143</v>
      </c>
      <c r="AD1671" t="s">
        <v>40</v>
      </c>
      <c r="AE1671" t="str">
        <f t="shared" si="511"/>
        <v>06</v>
      </c>
      <c r="AF1671" t="s">
        <v>40</v>
      </c>
    </row>
    <row r="1672" spans="1:32" x14ac:dyDescent="0.25">
      <c r="A1672">
        <v>5</v>
      </c>
      <c r="B1672">
        <v>240</v>
      </c>
      <c r="C1672" t="str">
        <f>"35"</f>
        <v>35</v>
      </c>
      <c r="D1672">
        <v>6299</v>
      </c>
      <c r="E1672" t="str">
        <f>"00"</f>
        <v>00</v>
      </c>
      <c r="F1672" t="str">
        <f t="shared" si="513"/>
        <v>999</v>
      </c>
      <c r="G1672">
        <v>5</v>
      </c>
      <c r="H1672" t="str">
        <f t="shared" si="516"/>
        <v>99</v>
      </c>
      <c r="I1672" t="str">
        <f t="shared" si="515"/>
        <v>0</v>
      </c>
      <c r="J1672" t="str">
        <f t="shared" si="514"/>
        <v>00</v>
      </c>
      <c r="K1672">
        <v>20150609</v>
      </c>
      <c r="L1672" t="str">
        <f>"015041"</f>
        <v>015041</v>
      </c>
      <c r="M1672" t="str">
        <f>"00577"</f>
        <v>00577</v>
      </c>
      <c r="N1672" t="s">
        <v>251</v>
      </c>
      <c r="O1672">
        <v>28.31</v>
      </c>
      <c r="Q1672" t="s">
        <v>33</v>
      </c>
      <c r="R1672" t="s">
        <v>34</v>
      </c>
      <c r="S1672" t="s">
        <v>35</v>
      </c>
      <c r="T1672" t="s">
        <v>35</v>
      </c>
      <c r="U1672" t="s">
        <v>34</v>
      </c>
      <c r="V1672" t="str">
        <f>""</f>
        <v/>
      </c>
      <c r="W1672">
        <v>20150608</v>
      </c>
      <c r="X1672" t="s">
        <v>252</v>
      </c>
      <c r="Y1672" t="s">
        <v>253</v>
      </c>
      <c r="Z1672" t="s">
        <v>253</v>
      </c>
      <c r="AA1672">
        <v>0</v>
      </c>
      <c r="AB1672" t="s">
        <v>238</v>
      </c>
      <c r="AC1672" t="s">
        <v>143</v>
      </c>
      <c r="AD1672" t="s">
        <v>40</v>
      </c>
      <c r="AE1672" t="str">
        <f t="shared" si="511"/>
        <v>06</v>
      </c>
      <c r="AF1672" t="s">
        <v>40</v>
      </c>
    </row>
    <row r="1673" spans="1:32" x14ac:dyDescent="0.25">
      <c r="A1673">
        <v>5</v>
      </c>
      <c r="B1673">
        <v>420</v>
      </c>
      <c r="C1673" t="str">
        <f>"51"</f>
        <v>51</v>
      </c>
      <c r="D1673">
        <v>6299</v>
      </c>
      <c r="E1673" t="str">
        <f>"00"</f>
        <v>00</v>
      </c>
      <c r="F1673" t="str">
        <f t="shared" si="513"/>
        <v>999</v>
      </c>
      <c r="G1673">
        <v>5</v>
      </c>
      <c r="H1673" t="str">
        <f t="shared" si="516"/>
        <v>99</v>
      </c>
      <c r="I1673" t="str">
        <f t="shared" si="515"/>
        <v>0</v>
      </c>
      <c r="J1673" t="str">
        <f t="shared" si="514"/>
        <v>00</v>
      </c>
      <c r="K1673">
        <v>20150609</v>
      </c>
      <c r="L1673" t="str">
        <f>"015041"</f>
        <v>015041</v>
      </c>
      <c r="M1673" t="str">
        <f>"00577"</f>
        <v>00577</v>
      </c>
      <c r="N1673" t="s">
        <v>251</v>
      </c>
      <c r="O1673">
        <v>63.72</v>
      </c>
      <c r="Q1673" t="s">
        <v>33</v>
      </c>
      <c r="R1673" t="s">
        <v>34</v>
      </c>
      <c r="S1673" t="s">
        <v>35</v>
      </c>
      <c r="T1673" t="s">
        <v>35</v>
      </c>
      <c r="U1673" t="s">
        <v>34</v>
      </c>
      <c r="V1673" t="str">
        <f>""</f>
        <v/>
      </c>
      <c r="W1673">
        <v>20150608</v>
      </c>
      <c r="X1673" t="s">
        <v>203</v>
      </c>
      <c r="Y1673" t="s">
        <v>253</v>
      </c>
      <c r="Z1673" t="s">
        <v>253</v>
      </c>
      <c r="AA1673">
        <v>0</v>
      </c>
      <c r="AB1673" t="s">
        <v>142</v>
      </c>
      <c r="AC1673" t="s">
        <v>143</v>
      </c>
      <c r="AD1673" t="s">
        <v>40</v>
      </c>
      <c r="AE1673" t="str">
        <f t="shared" si="511"/>
        <v>06</v>
      </c>
      <c r="AF1673" t="s">
        <v>40</v>
      </c>
    </row>
    <row r="1674" spans="1:32" x14ac:dyDescent="0.25">
      <c r="A1674">
        <v>5</v>
      </c>
      <c r="B1674">
        <v>420</v>
      </c>
      <c r="C1674" t="str">
        <f>"51"</f>
        <v>51</v>
      </c>
      <c r="D1674">
        <v>6259</v>
      </c>
      <c r="E1674" t="str">
        <f>"55"</f>
        <v>55</v>
      </c>
      <c r="F1674" t="str">
        <f t="shared" si="513"/>
        <v>999</v>
      </c>
      <c r="G1674">
        <v>5</v>
      </c>
      <c r="H1674" t="str">
        <f t="shared" si="516"/>
        <v>99</v>
      </c>
      <c r="I1674" t="str">
        <f t="shared" si="515"/>
        <v>0</v>
      </c>
      <c r="J1674" t="str">
        <f t="shared" si="514"/>
        <v>00</v>
      </c>
      <c r="K1674">
        <v>20150619</v>
      </c>
      <c r="L1674" t="str">
        <f>"015042"</f>
        <v>015042</v>
      </c>
      <c r="M1674" t="str">
        <f>"00075"</f>
        <v>00075</v>
      </c>
      <c r="N1674" t="s">
        <v>649</v>
      </c>
      <c r="O1674">
        <v>32.75</v>
      </c>
      <c r="Q1674" t="s">
        <v>33</v>
      </c>
      <c r="R1674" t="s">
        <v>34</v>
      </c>
      <c r="S1674" t="s">
        <v>35</v>
      </c>
      <c r="T1674" t="s">
        <v>35</v>
      </c>
      <c r="U1674" t="s">
        <v>34</v>
      </c>
      <c r="V1674" t="str">
        <f>""</f>
        <v/>
      </c>
      <c r="W1674">
        <v>20150617</v>
      </c>
      <c r="X1674" t="s">
        <v>243</v>
      </c>
      <c r="Y1674" t="s">
        <v>244</v>
      </c>
      <c r="Z1674" t="s">
        <v>244</v>
      </c>
      <c r="AA1674">
        <v>0</v>
      </c>
      <c r="AB1674" t="s">
        <v>142</v>
      </c>
      <c r="AC1674" t="s">
        <v>143</v>
      </c>
      <c r="AD1674" t="s">
        <v>40</v>
      </c>
      <c r="AE1674" t="str">
        <f t="shared" si="511"/>
        <v>06</v>
      </c>
      <c r="AF1674" t="s">
        <v>40</v>
      </c>
    </row>
    <row r="1675" spans="1:32" x14ac:dyDescent="0.25">
      <c r="A1675">
        <v>5</v>
      </c>
      <c r="B1675">
        <v>420</v>
      </c>
      <c r="C1675" t="str">
        <f>"51"</f>
        <v>51</v>
      </c>
      <c r="D1675">
        <v>6259</v>
      </c>
      <c r="E1675" t="str">
        <f>"55"</f>
        <v>55</v>
      </c>
      <c r="F1675" t="str">
        <f t="shared" si="513"/>
        <v>999</v>
      </c>
      <c r="G1675">
        <v>5</v>
      </c>
      <c r="H1675" t="str">
        <f t="shared" si="516"/>
        <v>99</v>
      </c>
      <c r="I1675" t="str">
        <f t="shared" si="515"/>
        <v>0</v>
      </c>
      <c r="J1675" t="str">
        <f t="shared" si="514"/>
        <v>00</v>
      </c>
      <c r="K1675">
        <v>20150619</v>
      </c>
      <c r="L1675" t="str">
        <f>"015042"</f>
        <v>015042</v>
      </c>
      <c r="M1675" t="str">
        <f>"00075"</f>
        <v>00075</v>
      </c>
      <c r="N1675" t="s">
        <v>649</v>
      </c>
      <c r="O1675">
        <v>182.03</v>
      </c>
      <c r="Q1675" t="s">
        <v>33</v>
      </c>
      <c r="R1675" t="s">
        <v>34</v>
      </c>
      <c r="S1675" t="s">
        <v>35</v>
      </c>
      <c r="T1675" t="s">
        <v>35</v>
      </c>
      <c r="U1675" t="s">
        <v>34</v>
      </c>
      <c r="V1675" t="str">
        <f>""</f>
        <v/>
      </c>
      <c r="W1675">
        <v>20150617</v>
      </c>
      <c r="X1675" t="s">
        <v>243</v>
      </c>
      <c r="Y1675" t="s">
        <v>244</v>
      </c>
      <c r="Z1675" t="s">
        <v>244</v>
      </c>
      <c r="AA1675">
        <v>0</v>
      </c>
      <c r="AB1675" t="s">
        <v>142</v>
      </c>
      <c r="AC1675" t="s">
        <v>143</v>
      </c>
      <c r="AD1675" t="s">
        <v>40</v>
      </c>
      <c r="AE1675" t="str">
        <f t="shared" si="511"/>
        <v>06</v>
      </c>
      <c r="AF1675" t="s">
        <v>40</v>
      </c>
    </row>
    <row r="1676" spans="1:32" x14ac:dyDescent="0.25">
      <c r="A1676">
        <v>5</v>
      </c>
      <c r="B1676">
        <v>224</v>
      </c>
      <c r="C1676" t="str">
        <f>"11"</f>
        <v>11</v>
      </c>
      <c r="D1676">
        <v>6219</v>
      </c>
      <c r="E1676" t="str">
        <f>"00"</f>
        <v>00</v>
      </c>
      <c r="F1676" t="str">
        <f t="shared" si="513"/>
        <v>999</v>
      </c>
      <c r="G1676">
        <v>5</v>
      </c>
      <c r="H1676" t="str">
        <f>"23"</f>
        <v>23</v>
      </c>
      <c r="I1676" t="str">
        <f t="shared" si="515"/>
        <v>0</v>
      </c>
      <c r="J1676" t="str">
        <f t="shared" si="514"/>
        <v>00</v>
      </c>
      <c r="K1676">
        <v>20150619</v>
      </c>
      <c r="L1676" t="str">
        <f>"015043"</f>
        <v>015043</v>
      </c>
      <c r="M1676" t="str">
        <f>"00777"</f>
        <v>00777</v>
      </c>
      <c r="N1676" t="s">
        <v>907</v>
      </c>
      <c r="O1676">
        <v>875</v>
      </c>
      <c r="Q1676" t="s">
        <v>33</v>
      </c>
      <c r="R1676" t="s">
        <v>34</v>
      </c>
      <c r="S1676" t="s">
        <v>35</v>
      </c>
      <c r="T1676" t="s">
        <v>35</v>
      </c>
      <c r="U1676" t="s">
        <v>34</v>
      </c>
      <c r="V1676" t="str">
        <f>""</f>
        <v/>
      </c>
      <c r="W1676">
        <v>20150618</v>
      </c>
      <c r="X1676" t="s">
        <v>209</v>
      </c>
      <c r="Y1676" t="s">
        <v>908</v>
      </c>
      <c r="Z1676" t="s">
        <v>908</v>
      </c>
      <c r="AA1676">
        <v>0</v>
      </c>
      <c r="AB1676" t="s">
        <v>211</v>
      </c>
      <c r="AC1676" t="s">
        <v>143</v>
      </c>
      <c r="AD1676" t="s">
        <v>40</v>
      </c>
      <c r="AE1676" t="str">
        <f t="shared" si="511"/>
        <v>06</v>
      </c>
      <c r="AF1676" t="s">
        <v>40</v>
      </c>
    </row>
    <row r="1677" spans="1:32" x14ac:dyDescent="0.25">
      <c r="A1677">
        <v>5</v>
      </c>
      <c r="B1677">
        <v>263</v>
      </c>
      <c r="C1677" t="str">
        <f>"11"</f>
        <v>11</v>
      </c>
      <c r="D1677">
        <v>6399</v>
      </c>
      <c r="E1677" t="str">
        <f>"00"</f>
        <v>00</v>
      </c>
      <c r="F1677" t="str">
        <f t="shared" si="513"/>
        <v>999</v>
      </c>
      <c r="G1677">
        <v>5</v>
      </c>
      <c r="H1677" t="str">
        <f>"25"</f>
        <v>25</v>
      </c>
      <c r="I1677" t="str">
        <f t="shared" si="515"/>
        <v>0</v>
      </c>
      <c r="J1677" t="str">
        <f t="shared" si="514"/>
        <v>00</v>
      </c>
      <c r="K1677">
        <v>20150619</v>
      </c>
      <c r="L1677" t="str">
        <f>"015044"</f>
        <v>015044</v>
      </c>
      <c r="M1677" t="str">
        <f>"00527"</f>
        <v>00527</v>
      </c>
      <c r="N1677" t="s">
        <v>651</v>
      </c>
      <c r="O1677">
        <v>369.6</v>
      </c>
      <c r="Q1677" t="s">
        <v>33</v>
      </c>
      <c r="R1677" t="s">
        <v>34</v>
      </c>
      <c r="S1677" t="s">
        <v>35</v>
      </c>
      <c r="T1677" t="s">
        <v>35</v>
      </c>
      <c r="U1677" t="s">
        <v>34</v>
      </c>
      <c r="V1677" t="str">
        <f>""</f>
        <v/>
      </c>
      <c r="W1677">
        <v>20150618</v>
      </c>
      <c r="X1677" t="s">
        <v>722</v>
      </c>
      <c r="Y1677" t="s">
        <v>909</v>
      </c>
      <c r="Z1677" t="s">
        <v>909</v>
      </c>
      <c r="AA1677">
        <v>0</v>
      </c>
      <c r="AB1677" t="s">
        <v>197</v>
      </c>
      <c r="AC1677" t="s">
        <v>143</v>
      </c>
      <c r="AD1677" t="s">
        <v>40</v>
      </c>
      <c r="AE1677" t="str">
        <f t="shared" si="511"/>
        <v>06</v>
      </c>
      <c r="AF1677" t="s">
        <v>40</v>
      </c>
    </row>
    <row r="1678" spans="1:32" x14ac:dyDescent="0.25">
      <c r="A1678">
        <v>5</v>
      </c>
      <c r="B1678">
        <v>420</v>
      </c>
      <c r="C1678" t="str">
        <f>"51"</f>
        <v>51</v>
      </c>
      <c r="D1678">
        <v>6319</v>
      </c>
      <c r="E1678" t="str">
        <f>"00"</f>
        <v>00</v>
      </c>
      <c r="F1678" t="str">
        <f t="shared" si="513"/>
        <v>999</v>
      </c>
      <c r="G1678">
        <v>5</v>
      </c>
      <c r="H1678" t="str">
        <f>"99"</f>
        <v>99</v>
      </c>
      <c r="I1678" t="str">
        <f t="shared" si="515"/>
        <v>0</v>
      </c>
      <c r="J1678" t="str">
        <f t="shared" si="514"/>
        <v>00</v>
      </c>
      <c r="K1678">
        <v>20150619</v>
      </c>
      <c r="L1678" t="str">
        <f>"015045"</f>
        <v>015045</v>
      </c>
      <c r="M1678" t="str">
        <f>"00152"</f>
        <v>00152</v>
      </c>
      <c r="N1678" t="s">
        <v>910</v>
      </c>
      <c r="O1678">
        <v>31.92</v>
      </c>
      <c r="Q1678" t="s">
        <v>33</v>
      </c>
      <c r="R1678" t="s">
        <v>34</v>
      </c>
      <c r="S1678" t="s">
        <v>35</v>
      </c>
      <c r="T1678" t="s">
        <v>35</v>
      </c>
      <c r="U1678" t="s">
        <v>34</v>
      </c>
      <c r="V1678" t="str">
        <f>""</f>
        <v/>
      </c>
      <c r="W1678">
        <v>20150618</v>
      </c>
      <c r="X1678" t="s">
        <v>185</v>
      </c>
      <c r="Y1678" t="s">
        <v>493</v>
      </c>
      <c r="Z1678" t="s">
        <v>493</v>
      </c>
      <c r="AA1678">
        <v>0</v>
      </c>
      <c r="AB1678" t="s">
        <v>142</v>
      </c>
      <c r="AC1678" t="s">
        <v>143</v>
      </c>
      <c r="AD1678" t="s">
        <v>40</v>
      </c>
      <c r="AE1678" t="str">
        <f t="shared" si="511"/>
        <v>06</v>
      </c>
      <c r="AF1678" t="s">
        <v>40</v>
      </c>
    </row>
    <row r="1679" spans="1:32" x14ac:dyDescent="0.25">
      <c r="A1679">
        <v>5</v>
      </c>
      <c r="B1679">
        <v>420</v>
      </c>
      <c r="C1679" t="str">
        <f>"51"</f>
        <v>51</v>
      </c>
      <c r="D1679">
        <v>6319</v>
      </c>
      <c r="E1679" t="str">
        <f>"00"</f>
        <v>00</v>
      </c>
      <c r="F1679" t="str">
        <f t="shared" si="513"/>
        <v>999</v>
      </c>
      <c r="G1679">
        <v>5</v>
      </c>
      <c r="H1679" t="str">
        <f>"99"</f>
        <v>99</v>
      </c>
      <c r="I1679" t="str">
        <f t="shared" si="515"/>
        <v>0</v>
      </c>
      <c r="J1679" t="str">
        <f t="shared" si="514"/>
        <v>00</v>
      </c>
      <c r="K1679">
        <v>20150619</v>
      </c>
      <c r="L1679" t="str">
        <f>"015045"</f>
        <v>015045</v>
      </c>
      <c r="M1679" t="str">
        <f>"00152"</f>
        <v>00152</v>
      </c>
      <c r="N1679" t="s">
        <v>910</v>
      </c>
      <c r="O1679">
        <v>157.26</v>
      </c>
      <c r="Q1679" t="s">
        <v>33</v>
      </c>
      <c r="R1679" t="s">
        <v>34</v>
      </c>
      <c r="S1679" t="s">
        <v>35</v>
      </c>
      <c r="T1679" t="s">
        <v>35</v>
      </c>
      <c r="U1679" t="s">
        <v>34</v>
      </c>
      <c r="V1679" t="str">
        <f>""</f>
        <v/>
      </c>
      <c r="W1679">
        <v>20150618</v>
      </c>
      <c r="X1679" t="s">
        <v>185</v>
      </c>
      <c r="Y1679" t="s">
        <v>911</v>
      </c>
      <c r="Z1679" t="s">
        <v>911</v>
      </c>
      <c r="AA1679">
        <v>0</v>
      </c>
      <c r="AB1679" t="s">
        <v>142</v>
      </c>
      <c r="AC1679" t="s">
        <v>143</v>
      </c>
      <c r="AD1679" t="s">
        <v>40</v>
      </c>
      <c r="AE1679" t="str">
        <f t="shared" si="511"/>
        <v>06</v>
      </c>
      <c r="AF1679" t="s">
        <v>40</v>
      </c>
    </row>
    <row r="1680" spans="1:32" x14ac:dyDescent="0.25">
      <c r="A1680">
        <v>5</v>
      </c>
      <c r="B1680">
        <v>420</v>
      </c>
      <c r="C1680" t="str">
        <f>"51"</f>
        <v>51</v>
      </c>
      <c r="D1680">
        <v>6259</v>
      </c>
      <c r="E1680" t="str">
        <f>"55"</f>
        <v>55</v>
      </c>
      <c r="F1680" t="str">
        <f t="shared" si="513"/>
        <v>999</v>
      </c>
      <c r="G1680">
        <v>5</v>
      </c>
      <c r="H1680" t="str">
        <f>"99"</f>
        <v>99</v>
      </c>
      <c r="I1680" t="str">
        <f t="shared" si="515"/>
        <v>0</v>
      </c>
      <c r="J1680" t="str">
        <f t="shared" si="514"/>
        <v>00</v>
      </c>
      <c r="K1680">
        <v>20150619</v>
      </c>
      <c r="L1680" t="str">
        <f>"015046"</f>
        <v>015046</v>
      </c>
      <c r="M1680" t="str">
        <f>"00566"</f>
        <v>00566</v>
      </c>
      <c r="N1680" t="s">
        <v>221</v>
      </c>
      <c r="O1680">
        <v>67</v>
      </c>
      <c r="Q1680" t="s">
        <v>33</v>
      </c>
      <c r="R1680" t="s">
        <v>34</v>
      </c>
      <c r="S1680" t="s">
        <v>35</v>
      </c>
      <c r="T1680" t="s">
        <v>35</v>
      </c>
      <c r="U1680" t="s">
        <v>34</v>
      </c>
      <c r="V1680" t="str">
        <f>""</f>
        <v/>
      </c>
      <c r="W1680">
        <v>20150617</v>
      </c>
      <c r="X1680" t="s">
        <v>243</v>
      </c>
      <c r="Y1680" t="s">
        <v>375</v>
      </c>
      <c r="Z1680" t="s">
        <v>375</v>
      </c>
      <c r="AA1680">
        <v>0</v>
      </c>
      <c r="AB1680" t="s">
        <v>142</v>
      </c>
      <c r="AC1680" t="s">
        <v>143</v>
      </c>
      <c r="AD1680" t="s">
        <v>40</v>
      </c>
      <c r="AE1680" t="str">
        <f t="shared" si="511"/>
        <v>06</v>
      </c>
      <c r="AF1680" t="s">
        <v>40</v>
      </c>
    </row>
    <row r="1681" spans="1:32" x14ac:dyDescent="0.25">
      <c r="A1681">
        <v>5</v>
      </c>
      <c r="B1681">
        <v>420</v>
      </c>
      <c r="C1681" t="str">
        <f>"11"</f>
        <v>11</v>
      </c>
      <c r="D1681">
        <v>6269</v>
      </c>
      <c r="E1681" t="str">
        <f t="shared" ref="E1681:E1692" si="517">"00"</f>
        <v>00</v>
      </c>
      <c r="F1681" t="str">
        <f t="shared" si="513"/>
        <v>999</v>
      </c>
      <c r="G1681">
        <v>5</v>
      </c>
      <c r="H1681" t="str">
        <f>"11"</f>
        <v>11</v>
      </c>
      <c r="I1681" t="str">
        <f t="shared" si="515"/>
        <v>0</v>
      </c>
      <c r="J1681" t="str">
        <f t="shared" si="514"/>
        <v>00</v>
      </c>
      <c r="K1681">
        <v>20150619</v>
      </c>
      <c r="L1681" t="str">
        <f>"015047"</f>
        <v>015047</v>
      </c>
      <c r="M1681" t="str">
        <f>"00218"</f>
        <v>00218</v>
      </c>
      <c r="N1681" t="s">
        <v>694</v>
      </c>
      <c r="O1681">
        <v>136.25</v>
      </c>
      <c r="Q1681" t="s">
        <v>33</v>
      </c>
      <c r="R1681" t="s">
        <v>34</v>
      </c>
      <c r="S1681" t="s">
        <v>35</v>
      </c>
      <c r="T1681" t="s">
        <v>35</v>
      </c>
      <c r="U1681" t="s">
        <v>34</v>
      </c>
      <c r="V1681" t="str">
        <f>""</f>
        <v/>
      </c>
      <c r="W1681">
        <v>20150617</v>
      </c>
      <c r="X1681" t="s">
        <v>213</v>
      </c>
      <c r="Y1681" t="s">
        <v>231</v>
      </c>
      <c r="Z1681" t="s">
        <v>231</v>
      </c>
      <c r="AA1681">
        <v>0</v>
      </c>
      <c r="AB1681" t="s">
        <v>142</v>
      </c>
      <c r="AC1681" t="s">
        <v>143</v>
      </c>
      <c r="AD1681" t="s">
        <v>40</v>
      </c>
      <c r="AE1681" t="str">
        <f t="shared" si="511"/>
        <v>06</v>
      </c>
      <c r="AF1681" t="s">
        <v>40</v>
      </c>
    </row>
    <row r="1682" spans="1:32" x14ac:dyDescent="0.25">
      <c r="A1682">
        <v>5</v>
      </c>
      <c r="B1682">
        <v>420</v>
      </c>
      <c r="C1682" t="str">
        <f>"11"</f>
        <v>11</v>
      </c>
      <c r="D1682">
        <v>6219</v>
      </c>
      <c r="E1682" t="str">
        <f t="shared" si="517"/>
        <v>00</v>
      </c>
      <c r="F1682" t="str">
        <f>"101"</f>
        <v>101</v>
      </c>
      <c r="G1682">
        <v>5</v>
      </c>
      <c r="H1682" t="str">
        <f>"11"</f>
        <v>11</v>
      </c>
      <c r="I1682" t="str">
        <f t="shared" si="515"/>
        <v>0</v>
      </c>
      <c r="J1682" t="str">
        <f t="shared" si="514"/>
        <v>00</v>
      </c>
      <c r="K1682">
        <v>20150619</v>
      </c>
      <c r="L1682" t="str">
        <f>"015048"</f>
        <v>015048</v>
      </c>
      <c r="M1682" t="str">
        <f>"00861"</f>
        <v>00861</v>
      </c>
      <c r="N1682" t="s">
        <v>865</v>
      </c>
      <c r="O1682">
        <v>434.87</v>
      </c>
      <c r="Q1682" t="s">
        <v>33</v>
      </c>
      <c r="R1682" t="s">
        <v>34</v>
      </c>
      <c r="S1682" t="s">
        <v>35</v>
      </c>
      <c r="T1682" t="s">
        <v>35</v>
      </c>
      <c r="U1682" t="s">
        <v>34</v>
      </c>
      <c r="V1682" t="str">
        <f>""</f>
        <v/>
      </c>
      <c r="W1682">
        <v>20150617</v>
      </c>
      <c r="X1682" t="s">
        <v>147</v>
      </c>
      <c r="Y1682" t="s">
        <v>604</v>
      </c>
      <c r="Z1682" t="s">
        <v>604</v>
      </c>
      <c r="AA1682">
        <v>0</v>
      </c>
      <c r="AB1682" t="s">
        <v>142</v>
      </c>
      <c r="AC1682" t="s">
        <v>41</v>
      </c>
      <c r="AD1682" t="s">
        <v>40</v>
      </c>
      <c r="AE1682" t="str">
        <f t="shared" si="511"/>
        <v>06</v>
      </c>
      <c r="AF1682" t="s">
        <v>40</v>
      </c>
    </row>
    <row r="1683" spans="1:32" x14ac:dyDescent="0.25">
      <c r="A1683">
        <v>5</v>
      </c>
      <c r="B1683">
        <v>420</v>
      </c>
      <c r="C1683" t="str">
        <f>"52"</f>
        <v>52</v>
      </c>
      <c r="D1683">
        <v>6219</v>
      </c>
      <c r="E1683" t="str">
        <f t="shared" si="517"/>
        <v>00</v>
      </c>
      <c r="F1683" t="str">
        <f>"999"</f>
        <v>999</v>
      </c>
      <c r="G1683">
        <v>5</v>
      </c>
      <c r="H1683" t="str">
        <f>"99"</f>
        <v>99</v>
      </c>
      <c r="I1683" t="str">
        <f t="shared" si="515"/>
        <v>0</v>
      </c>
      <c r="J1683" t="str">
        <f t="shared" si="514"/>
        <v>00</v>
      </c>
      <c r="K1683">
        <v>20150619</v>
      </c>
      <c r="L1683" t="str">
        <f>"015049"</f>
        <v>015049</v>
      </c>
      <c r="M1683" t="str">
        <f>"00801"</f>
        <v>00801</v>
      </c>
      <c r="N1683" t="s">
        <v>553</v>
      </c>
      <c r="O1683">
        <v>91.4</v>
      </c>
      <c r="Q1683" t="s">
        <v>33</v>
      </c>
      <c r="R1683" t="s">
        <v>34</v>
      </c>
      <c r="S1683" t="s">
        <v>35</v>
      </c>
      <c r="T1683" t="s">
        <v>35</v>
      </c>
      <c r="U1683" t="s">
        <v>34</v>
      </c>
      <c r="V1683" t="str">
        <f>""</f>
        <v/>
      </c>
      <c r="W1683">
        <v>20150618</v>
      </c>
      <c r="X1683" t="s">
        <v>208</v>
      </c>
      <c r="Y1683" t="s">
        <v>344</v>
      </c>
      <c r="Z1683" t="s">
        <v>344</v>
      </c>
      <c r="AA1683">
        <v>0</v>
      </c>
      <c r="AB1683" t="s">
        <v>142</v>
      </c>
      <c r="AC1683" t="s">
        <v>143</v>
      </c>
      <c r="AD1683" t="s">
        <v>40</v>
      </c>
      <c r="AE1683" t="str">
        <f t="shared" si="511"/>
        <v>06</v>
      </c>
      <c r="AF1683" t="s">
        <v>40</v>
      </c>
    </row>
    <row r="1684" spans="1:32" x14ac:dyDescent="0.25">
      <c r="A1684">
        <v>5</v>
      </c>
      <c r="B1684">
        <v>420</v>
      </c>
      <c r="C1684" t="str">
        <f>"33"</f>
        <v>33</v>
      </c>
      <c r="D1684">
        <v>6219</v>
      </c>
      <c r="E1684" t="str">
        <f t="shared" si="517"/>
        <v>00</v>
      </c>
      <c r="F1684" t="str">
        <f>"999"</f>
        <v>999</v>
      </c>
      <c r="G1684">
        <v>5</v>
      </c>
      <c r="H1684" t="str">
        <f>"99"</f>
        <v>99</v>
      </c>
      <c r="I1684" t="str">
        <f t="shared" si="515"/>
        <v>0</v>
      </c>
      <c r="J1684" t="str">
        <f t="shared" si="514"/>
        <v>00</v>
      </c>
      <c r="K1684">
        <v>20150619</v>
      </c>
      <c r="L1684" t="str">
        <f>"015050"</f>
        <v>015050</v>
      </c>
      <c r="M1684" t="str">
        <f>"00580"</f>
        <v>00580</v>
      </c>
      <c r="N1684" t="s">
        <v>912</v>
      </c>
      <c r="O1684">
        <v>17.170000000000002</v>
      </c>
      <c r="Q1684" t="s">
        <v>33</v>
      </c>
      <c r="R1684" t="s">
        <v>34</v>
      </c>
      <c r="S1684" t="s">
        <v>35</v>
      </c>
      <c r="T1684" t="s">
        <v>35</v>
      </c>
      <c r="U1684" t="s">
        <v>34</v>
      </c>
      <c r="V1684" t="str">
        <f>""</f>
        <v/>
      </c>
      <c r="W1684">
        <v>20150618</v>
      </c>
      <c r="X1684" t="s">
        <v>233</v>
      </c>
      <c r="Y1684" t="s">
        <v>913</v>
      </c>
      <c r="Z1684" t="s">
        <v>913</v>
      </c>
      <c r="AA1684">
        <v>0</v>
      </c>
      <c r="AB1684" t="s">
        <v>142</v>
      </c>
      <c r="AC1684" t="s">
        <v>143</v>
      </c>
      <c r="AD1684" t="s">
        <v>40</v>
      </c>
      <c r="AE1684" t="str">
        <f t="shared" si="511"/>
        <v>06</v>
      </c>
      <c r="AF1684" t="s">
        <v>40</v>
      </c>
    </row>
    <row r="1685" spans="1:32" x14ac:dyDescent="0.25">
      <c r="A1685">
        <v>5</v>
      </c>
      <c r="B1685">
        <v>420</v>
      </c>
      <c r="C1685" t="str">
        <f>"33"</f>
        <v>33</v>
      </c>
      <c r="D1685">
        <v>6219</v>
      </c>
      <c r="E1685" t="str">
        <f t="shared" si="517"/>
        <v>00</v>
      </c>
      <c r="F1685" t="str">
        <f>"999"</f>
        <v>999</v>
      </c>
      <c r="G1685">
        <v>5</v>
      </c>
      <c r="H1685" t="str">
        <f>"99"</f>
        <v>99</v>
      </c>
      <c r="I1685" t="str">
        <f t="shared" si="515"/>
        <v>0</v>
      </c>
      <c r="J1685" t="str">
        <f t="shared" si="514"/>
        <v>00</v>
      </c>
      <c r="K1685">
        <v>20150619</v>
      </c>
      <c r="L1685" t="str">
        <f>"015050"</f>
        <v>015050</v>
      </c>
      <c r="M1685" t="str">
        <f>"00580"</f>
        <v>00580</v>
      </c>
      <c r="N1685" t="s">
        <v>912</v>
      </c>
      <c r="O1685">
        <v>67.06</v>
      </c>
      <c r="Q1685" t="s">
        <v>33</v>
      </c>
      <c r="R1685" t="s">
        <v>34</v>
      </c>
      <c r="S1685" t="s">
        <v>35</v>
      </c>
      <c r="T1685" t="s">
        <v>35</v>
      </c>
      <c r="U1685" t="s">
        <v>34</v>
      </c>
      <c r="V1685" t="str">
        <f>""</f>
        <v/>
      </c>
      <c r="W1685">
        <v>20150618</v>
      </c>
      <c r="X1685" t="s">
        <v>233</v>
      </c>
      <c r="Y1685" t="s">
        <v>914</v>
      </c>
      <c r="Z1685" t="s">
        <v>914</v>
      </c>
      <c r="AA1685">
        <v>0</v>
      </c>
      <c r="AB1685" t="s">
        <v>142</v>
      </c>
      <c r="AC1685" t="s">
        <v>143</v>
      </c>
      <c r="AD1685" t="s">
        <v>40</v>
      </c>
      <c r="AE1685" t="str">
        <f t="shared" ref="AE1685:AE1716" si="518">"06"</f>
        <v>06</v>
      </c>
      <c r="AF1685" t="s">
        <v>40</v>
      </c>
    </row>
    <row r="1686" spans="1:32" x14ac:dyDescent="0.25">
      <c r="A1686">
        <v>5</v>
      </c>
      <c r="B1686">
        <v>420</v>
      </c>
      <c r="C1686" t="str">
        <f t="shared" ref="C1686:C1691" si="519">"11"</f>
        <v>11</v>
      </c>
      <c r="D1686">
        <v>6399</v>
      </c>
      <c r="E1686" t="str">
        <f t="shared" si="517"/>
        <v>00</v>
      </c>
      <c r="F1686" t="str">
        <f>"001"</f>
        <v>001</v>
      </c>
      <c r="G1686">
        <v>5</v>
      </c>
      <c r="H1686" t="str">
        <f t="shared" ref="H1686:H1691" si="520">"11"</f>
        <v>11</v>
      </c>
      <c r="I1686" t="str">
        <f t="shared" si="515"/>
        <v>0</v>
      </c>
      <c r="J1686" t="str">
        <f t="shared" si="514"/>
        <v>00</v>
      </c>
      <c r="K1686">
        <v>20150619</v>
      </c>
      <c r="L1686" t="str">
        <f t="shared" ref="L1686:L1691" si="521">"015051"</f>
        <v>015051</v>
      </c>
      <c r="M1686" t="str">
        <f t="shared" ref="M1686:M1691" si="522">"00701"</f>
        <v>00701</v>
      </c>
      <c r="N1686" t="s">
        <v>120</v>
      </c>
      <c r="O1686">
        <v>34.700000000000003</v>
      </c>
      <c r="Q1686" t="s">
        <v>33</v>
      </c>
      <c r="R1686" t="s">
        <v>34</v>
      </c>
      <c r="S1686" t="s">
        <v>35</v>
      </c>
      <c r="T1686" t="s">
        <v>35</v>
      </c>
      <c r="U1686" t="s">
        <v>34</v>
      </c>
      <c r="V1686" t="str">
        <f>""</f>
        <v/>
      </c>
      <c r="W1686">
        <v>20150617</v>
      </c>
      <c r="X1686" t="s">
        <v>239</v>
      </c>
      <c r="Y1686" t="s">
        <v>790</v>
      </c>
      <c r="Z1686" t="s">
        <v>790</v>
      </c>
      <c r="AA1686">
        <v>0</v>
      </c>
      <c r="AB1686" t="s">
        <v>142</v>
      </c>
      <c r="AC1686" t="s">
        <v>41</v>
      </c>
      <c r="AD1686" t="s">
        <v>40</v>
      </c>
      <c r="AE1686" t="str">
        <f t="shared" si="518"/>
        <v>06</v>
      </c>
      <c r="AF1686" t="s">
        <v>40</v>
      </c>
    </row>
    <row r="1687" spans="1:32" x14ac:dyDescent="0.25">
      <c r="A1687">
        <v>5</v>
      </c>
      <c r="B1687">
        <v>420</v>
      </c>
      <c r="C1687" t="str">
        <f t="shared" si="519"/>
        <v>11</v>
      </c>
      <c r="D1687">
        <v>6399</v>
      </c>
      <c r="E1687" t="str">
        <f t="shared" si="517"/>
        <v>00</v>
      </c>
      <c r="F1687" t="str">
        <f>"001"</f>
        <v>001</v>
      </c>
      <c r="G1687">
        <v>5</v>
      </c>
      <c r="H1687" t="str">
        <f t="shared" si="520"/>
        <v>11</v>
      </c>
      <c r="I1687" t="str">
        <f t="shared" si="515"/>
        <v>0</v>
      </c>
      <c r="J1687" t="str">
        <f t="shared" si="514"/>
        <v>00</v>
      </c>
      <c r="K1687">
        <v>20150619</v>
      </c>
      <c r="L1687" t="str">
        <f t="shared" si="521"/>
        <v>015051</v>
      </c>
      <c r="M1687" t="str">
        <f t="shared" si="522"/>
        <v>00701</v>
      </c>
      <c r="N1687" t="s">
        <v>120</v>
      </c>
      <c r="O1687">
        <v>2.35</v>
      </c>
      <c r="Q1687" t="s">
        <v>33</v>
      </c>
      <c r="R1687" t="s">
        <v>34</v>
      </c>
      <c r="S1687" t="s">
        <v>35</v>
      </c>
      <c r="T1687" t="s">
        <v>35</v>
      </c>
      <c r="U1687" t="s">
        <v>34</v>
      </c>
      <c r="V1687" t="str">
        <f>""</f>
        <v/>
      </c>
      <c r="W1687">
        <v>20150617</v>
      </c>
      <c r="X1687" t="s">
        <v>239</v>
      </c>
      <c r="Y1687" t="s">
        <v>790</v>
      </c>
      <c r="Z1687" t="s">
        <v>790</v>
      </c>
      <c r="AA1687">
        <v>0</v>
      </c>
      <c r="AB1687" t="s">
        <v>142</v>
      </c>
      <c r="AC1687" t="s">
        <v>41</v>
      </c>
      <c r="AD1687" t="s">
        <v>40</v>
      </c>
      <c r="AE1687" t="str">
        <f t="shared" si="518"/>
        <v>06</v>
      </c>
      <c r="AF1687" t="s">
        <v>40</v>
      </c>
    </row>
    <row r="1688" spans="1:32" x14ac:dyDescent="0.25">
      <c r="A1688">
        <v>5</v>
      </c>
      <c r="B1688">
        <v>420</v>
      </c>
      <c r="C1688" t="str">
        <f t="shared" si="519"/>
        <v>11</v>
      </c>
      <c r="D1688">
        <v>6399</v>
      </c>
      <c r="E1688" t="str">
        <f t="shared" si="517"/>
        <v>00</v>
      </c>
      <c r="F1688" t="str">
        <f>"041"</f>
        <v>041</v>
      </c>
      <c r="G1688">
        <v>5</v>
      </c>
      <c r="H1688" t="str">
        <f t="shared" si="520"/>
        <v>11</v>
      </c>
      <c r="I1688" t="str">
        <f t="shared" si="515"/>
        <v>0</v>
      </c>
      <c r="J1688" t="str">
        <f t="shared" si="514"/>
        <v>00</v>
      </c>
      <c r="K1688">
        <v>20150619</v>
      </c>
      <c r="L1688" t="str">
        <f t="shared" si="521"/>
        <v>015051</v>
      </c>
      <c r="M1688" t="str">
        <f t="shared" si="522"/>
        <v>00701</v>
      </c>
      <c r="N1688" t="s">
        <v>120</v>
      </c>
      <c r="O1688">
        <v>34.700000000000003</v>
      </c>
      <c r="Q1688" t="s">
        <v>33</v>
      </c>
      <c r="R1688" t="s">
        <v>34</v>
      </c>
      <c r="S1688" t="s">
        <v>35</v>
      </c>
      <c r="T1688" t="s">
        <v>35</v>
      </c>
      <c r="U1688" t="s">
        <v>34</v>
      </c>
      <c r="V1688" t="str">
        <f>""</f>
        <v/>
      </c>
      <c r="W1688">
        <v>20150617</v>
      </c>
      <c r="X1688" t="s">
        <v>241</v>
      </c>
      <c r="Y1688" t="s">
        <v>790</v>
      </c>
      <c r="Z1688" t="s">
        <v>790</v>
      </c>
      <c r="AA1688">
        <v>0</v>
      </c>
      <c r="AB1688" t="s">
        <v>142</v>
      </c>
      <c r="AC1688" t="s">
        <v>41</v>
      </c>
      <c r="AD1688" t="s">
        <v>40</v>
      </c>
      <c r="AE1688" t="str">
        <f t="shared" si="518"/>
        <v>06</v>
      </c>
      <c r="AF1688" t="s">
        <v>40</v>
      </c>
    </row>
    <row r="1689" spans="1:32" x14ac:dyDescent="0.25">
      <c r="A1689">
        <v>5</v>
      </c>
      <c r="B1689">
        <v>420</v>
      </c>
      <c r="C1689" t="str">
        <f t="shared" si="519"/>
        <v>11</v>
      </c>
      <c r="D1689">
        <v>6399</v>
      </c>
      <c r="E1689" t="str">
        <f t="shared" si="517"/>
        <v>00</v>
      </c>
      <c r="F1689" t="str">
        <f>"041"</f>
        <v>041</v>
      </c>
      <c r="G1689">
        <v>5</v>
      </c>
      <c r="H1689" t="str">
        <f t="shared" si="520"/>
        <v>11</v>
      </c>
      <c r="I1689" t="str">
        <f t="shared" si="515"/>
        <v>0</v>
      </c>
      <c r="J1689" t="str">
        <f t="shared" si="514"/>
        <v>00</v>
      </c>
      <c r="K1689">
        <v>20150619</v>
      </c>
      <c r="L1689" t="str">
        <f t="shared" si="521"/>
        <v>015051</v>
      </c>
      <c r="M1689" t="str">
        <f t="shared" si="522"/>
        <v>00701</v>
      </c>
      <c r="N1689" t="s">
        <v>120</v>
      </c>
      <c r="O1689">
        <v>2.36</v>
      </c>
      <c r="Q1689" t="s">
        <v>33</v>
      </c>
      <c r="R1689" t="s">
        <v>34</v>
      </c>
      <c r="S1689" t="s">
        <v>35</v>
      </c>
      <c r="T1689" t="s">
        <v>35</v>
      </c>
      <c r="U1689" t="s">
        <v>34</v>
      </c>
      <c r="V1689" t="str">
        <f>""</f>
        <v/>
      </c>
      <c r="W1689">
        <v>20150617</v>
      </c>
      <c r="X1689" t="s">
        <v>241</v>
      </c>
      <c r="Y1689" t="s">
        <v>790</v>
      </c>
      <c r="Z1689" t="s">
        <v>790</v>
      </c>
      <c r="AA1689">
        <v>0</v>
      </c>
      <c r="AB1689" t="s">
        <v>142</v>
      </c>
      <c r="AC1689" t="s">
        <v>41</v>
      </c>
      <c r="AD1689" t="s">
        <v>40</v>
      </c>
      <c r="AE1689" t="str">
        <f t="shared" si="518"/>
        <v>06</v>
      </c>
      <c r="AF1689" t="s">
        <v>40</v>
      </c>
    </row>
    <row r="1690" spans="1:32" x14ac:dyDescent="0.25">
      <c r="A1690">
        <v>5</v>
      </c>
      <c r="B1690">
        <v>420</v>
      </c>
      <c r="C1690" t="str">
        <f t="shared" si="519"/>
        <v>11</v>
      </c>
      <c r="D1690">
        <v>6399</v>
      </c>
      <c r="E1690" t="str">
        <f t="shared" si="517"/>
        <v>00</v>
      </c>
      <c r="F1690" t="str">
        <f>"101"</f>
        <v>101</v>
      </c>
      <c r="G1690">
        <v>5</v>
      </c>
      <c r="H1690" t="str">
        <f t="shared" si="520"/>
        <v>11</v>
      </c>
      <c r="I1690" t="str">
        <f t="shared" si="515"/>
        <v>0</v>
      </c>
      <c r="J1690" t="str">
        <f t="shared" si="514"/>
        <v>00</v>
      </c>
      <c r="K1690">
        <v>20150619</v>
      </c>
      <c r="L1690" t="str">
        <f t="shared" si="521"/>
        <v>015051</v>
      </c>
      <c r="M1690" t="str">
        <f t="shared" si="522"/>
        <v>00701</v>
      </c>
      <c r="N1690" t="s">
        <v>120</v>
      </c>
      <c r="O1690">
        <v>10.07</v>
      </c>
      <c r="Q1690" t="s">
        <v>33</v>
      </c>
      <c r="R1690" t="s">
        <v>34</v>
      </c>
      <c r="S1690" t="s">
        <v>35</v>
      </c>
      <c r="T1690" t="s">
        <v>35</v>
      </c>
      <c r="U1690" t="s">
        <v>34</v>
      </c>
      <c r="V1690" t="str">
        <f>""</f>
        <v/>
      </c>
      <c r="W1690">
        <v>20150617</v>
      </c>
      <c r="X1690" t="s">
        <v>246</v>
      </c>
      <c r="Y1690" t="s">
        <v>790</v>
      </c>
      <c r="Z1690" t="s">
        <v>790</v>
      </c>
      <c r="AA1690">
        <v>0</v>
      </c>
      <c r="AB1690" t="s">
        <v>142</v>
      </c>
      <c r="AC1690" t="s">
        <v>41</v>
      </c>
      <c r="AD1690" t="s">
        <v>40</v>
      </c>
      <c r="AE1690" t="str">
        <f t="shared" si="518"/>
        <v>06</v>
      </c>
      <c r="AF1690" t="s">
        <v>40</v>
      </c>
    </row>
    <row r="1691" spans="1:32" x14ac:dyDescent="0.25">
      <c r="A1691">
        <v>5</v>
      </c>
      <c r="B1691">
        <v>420</v>
      </c>
      <c r="C1691" t="str">
        <f t="shared" si="519"/>
        <v>11</v>
      </c>
      <c r="D1691">
        <v>6399</v>
      </c>
      <c r="E1691" t="str">
        <f t="shared" si="517"/>
        <v>00</v>
      </c>
      <c r="F1691" t="str">
        <f>"101"</f>
        <v>101</v>
      </c>
      <c r="G1691">
        <v>5</v>
      </c>
      <c r="H1691" t="str">
        <f t="shared" si="520"/>
        <v>11</v>
      </c>
      <c r="I1691" t="str">
        <f t="shared" si="515"/>
        <v>0</v>
      </c>
      <c r="J1691" t="str">
        <f t="shared" si="514"/>
        <v>00</v>
      </c>
      <c r="K1691">
        <v>20150619</v>
      </c>
      <c r="L1691" t="str">
        <f t="shared" si="521"/>
        <v>015051</v>
      </c>
      <c r="M1691" t="str">
        <f t="shared" si="522"/>
        <v>00701</v>
      </c>
      <c r="N1691" t="s">
        <v>120</v>
      </c>
      <c r="O1691">
        <v>147.41999999999999</v>
      </c>
      <c r="Q1691" t="s">
        <v>33</v>
      </c>
      <c r="R1691" t="s">
        <v>34</v>
      </c>
      <c r="S1691" t="s">
        <v>35</v>
      </c>
      <c r="T1691" t="s">
        <v>35</v>
      </c>
      <c r="U1691" t="s">
        <v>34</v>
      </c>
      <c r="V1691" t="str">
        <f>""</f>
        <v/>
      </c>
      <c r="W1691">
        <v>20150617</v>
      </c>
      <c r="X1691" t="s">
        <v>246</v>
      </c>
      <c r="Y1691" t="s">
        <v>790</v>
      </c>
      <c r="Z1691" t="s">
        <v>790</v>
      </c>
      <c r="AA1691">
        <v>0</v>
      </c>
      <c r="AB1691" t="s">
        <v>142</v>
      </c>
      <c r="AC1691" t="s">
        <v>41</v>
      </c>
      <c r="AD1691" t="s">
        <v>40</v>
      </c>
      <c r="AE1691" t="str">
        <f t="shared" si="518"/>
        <v>06</v>
      </c>
      <c r="AF1691" t="s">
        <v>40</v>
      </c>
    </row>
    <row r="1692" spans="1:32" x14ac:dyDescent="0.25">
      <c r="A1692">
        <v>5</v>
      </c>
      <c r="B1692">
        <v>240</v>
      </c>
      <c r="C1692" t="str">
        <f>"35"</f>
        <v>35</v>
      </c>
      <c r="D1692">
        <v>6341</v>
      </c>
      <c r="E1692" t="str">
        <f t="shared" si="517"/>
        <v>00</v>
      </c>
      <c r="F1692" t="str">
        <f>"999"</f>
        <v>999</v>
      </c>
      <c r="G1692">
        <v>5</v>
      </c>
      <c r="H1692" t="str">
        <f>"99"</f>
        <v>99</v>
      </c>
      <c r="I1692" t="str">
        <f t="shared" si="515"/>
        <v>0</v>
      </c>
      <c r="J1692" t="str">
        <f t="shared" si="514"/>
        <v>00</v>
      </c>
      <c r="K1692">
        <v>20150619</v>
      </c>
      <c r="L1692" t="str">
        <f>"015052"</f>
        <v>015052</v>
      </c>
      <c r="M1692" t="str">
        <f>"00391"</f>
        <v>00391</v>
      </c>
      <c r="N1692" t="s">
        <v>857</v>
      </c>
      <c r="O1692">
        <v>34.06</v>
      </c>
      <c r="Q1692" t="s">
        <v>33</v>
      </c>
      <c r="R1692" t="s">
        <v>34</v>
      </c>
      <c r="S1692" t="s">
        <v>35</v>
      </c>
      <c r="T1692" t="s">
        <v>35</v>
      </c>
      <c r="U1692" t="s">
        <v>34</v>
      </c>
      <c r="V1692" t="str">
        <f>""</f>
        <v/>
      </c>
      <c r="W1692">
        <v>20150617</v>
      </c>
      <c r="X1692" t="s">
        <v>268</v>
      </c>
      <c r="Y1692" t="s">
        <v>573</v>
      </c>
      <c r="Z1692" t="s">
        <v>573</v>
      </c>
      <c r="AA1692">
        <v>0</v>
      </c>
      <c r="AB1692" t="s">
        <v>238</v>
      </c>
      <c r="AC1692" t="s">
        <v>143</v>
      </c>
      <c r="AD1692" t="s">
        <v>40</v>
      </c>
      <c r="AE1692" t="str">
        <f t="shared" si="518"/>
        <v>06</v>
      </c>
      <c r="AF1692" t="s">
        <v>40</v>
      </c>
    </row>
    <row r="1693" spans="1:32" x14ac:dyDescent="0.25">
      <c r="A1693">
        <v>5</v>
      </c>
      <c r="B1693">
        <v>420</v>
      </c>
      <c r="C1693" t="str">
        <f>"51"</f>
        <v>51</v>
      </c>
      <c r="D1693">
        <v>6259</v>
      </c>
      <c r="E1693" t="str">
        <f>"54"</f>
        <v>54</v>
      </c>
      <c r="F1693" t="str">
        <f>"999"</f>
        <v>999</v>
      </c>
      <c r="G1693">
        <v>5</v>
      </c>
      <c r="H1693" t="str">
        <f>"99"</f>
        <v>99</v>
      </c>
      <c r="I1693" t="str">
        <f t="shared" si="515"/>
        <v>0</v>
      </c>
      <c r="J1693" t="str">
        <f t="shared" si="514"/>
        <v>00</v>
      </c>
      <c r="K1693">
        <v>20150619</v>
      </c>
      <c r="L1693" t="str">
        <f>"015053"</f>
        <v>015053</v>
      </c>
      <c r="M1693" t="str">
        <f>"00581"</f>
        <v>00581</v>
      </c>
      <c r="N1693" t="s">
        <v>248</v>
      </c>
      <c r="O1693">
        <v>482.31</v>
      </c>
      <c r="Q1693" t="s">
        <v>33</v>
      </c>
      <c r="R1693" t="s">
        <v>34</v>
      </c>
      <c r="S1693" t="s">
        <v>35</v>
      </c>
      <c r="T1693" t="s">
        <v>35</v>
      </c>
      <c r="U1693" t="s">
        <v>34</v>
      </c>
      <c r="V1693" t="str">
        <f>""</f>
        <v/>
      </c>
      <c r="W1693">
        <v>20150617</v>
      </c>
      <c r="X1693" t="s">
        <v>216</v>
      </c>
      <c r="Y1693" t="s">
        <v>915</v>
      </c>
      <c r="Z1693" t="s">
        <v>915</v>
      </c>
      <c r="AA1693">
        <v>0</v>
      </c>
      <c r="AB1693" t="s">
        <v>142</v>
      </c>
      <c r="AC1693" t="s">
        <v>143</v>
      </c>
      <c r="AD1693" t="s">
        <v>40</v>
      </c>
      <c r="AE1693" t="str">
        <f t="shared" si="518"/>
        <v>06</v>
      </c>
      <c r="AF1693" t="s">
        <v>40</v>
      </c>
    </row>
    <row r="1694" spans="1:32" x14ac:dyDescent="0.25">
      <c r="A1694">
        <v>5</v>
      </c>
      <c r="B1694">
        <v>420</v>
      </c>
      <c r="C1694" t="str">
        <f>"51"</f>
        <v>51</v>
      </c>
      <c r="D1694">
        <v>6259</v>
      </c>
      <c r="E1694" t="str">
        <f>"54"</f>
        <v>54</v>
      </c>
      <c r="F1694" t="str">
        <f>"999"</f>
        <v>999</v>
      </c>
      <c r="G1694">
        <v>5</v>
      </c>
      <c r="H1694" t="str">
        <f>"99"</f>
        <v>99</v>
      </c>
      <c r="I1694" t="str">
        <f t="shared" si="515"/>
        <v>0</v>
      </c>
      <c r="J1694" t="str">
        <f t="shared" ref="J1694:J1704" si="523">"00"</f>
        <v>00</v>
      </c>
      <c r="K1694">
        <v>20150619</v>
      </c>
      <c r="L1694" t="str">
        <f>"015054"</f>
        <v>015054</v>
      </c>
      <c r="M1694" t="str">
        <f>"00591"</f>
        <v>00591</v>
      </c>
      <c r="N1694" t="s">
        <v>272</v>
      </c>
      <c r="O1694" s="1">
        <v>2172.16</v>
      </c>
      <c r="Q1694" t="s">
        <v>33</v>
      </c>
      <c r="R1694" t="s">
        <v>34</v>
      </c>
      <c r="S1694" t="s">
        <v>35</v>
      </c>
      <c r="T1694" t="s">
        <v>35</v>
      </c>
      <c r="U1694" t="s">
        <v>34</v>
      </c>
      <c r="V1694" t="str">
        <f>""</f>
        <v/>
      </c>
      <c r="W1694">
        <v>20150617</v>
      </c>
      <c r="X1694" t="s">
        <v>216</v>
      </c>
      <c r="Y1694" t="s">
        <v>915</v>
      </c>
      <c r="Z1694" t="s">
        <v>915</v>
      </c>
      <c r="AA1694">
        <v>0</v>
      </c>
      <c r="AB1694" t="s">
        <v>142</v>
      </c>
      <c r="AC1694" t="s">
        <v>143</v>
      </c>
      <c r="AD1694" t="s">
        <v>40</v>
      </c>
      <c r="AE1694" t="str">
        <f t="shared" si="518"/>
        <v>06</v>
      </c>
      <c r="AF1694" t="s">
        <v>40</v>
      </c>
    </row>
    <row r="1695" spans="1:32" x14ac:dyDescent="0.25">
      <c r="A1695">
        <v>5</v>
      </c>
      <c r="B1695">
        <v>420</v>
      </c>
      <c r="C1695" t="str">
        <f t="shared" ref="C1695:C1704" si="524">"00"</f>
        <v>00</v>
      </c>
      <c r="D1695">
        <v>2153</v>
      </c>
      <c r="E1695" t="str">
        <f t="shared" ref="E1695:E1711" si="525">"00"</f>
        <v>00</v>
      </c>
      <c r="F1695" t="str">
        <f>"008"</f>
        <v>008</v>
      </c>
      <c r="G1695">
        <v>5</v>
      </c>
      <c r="H1695" t="str">
        <f t="shared" ref="H1695:H1704" si="526">"00"</f>
        <v>00</v>
      </c>
      <c r="I1695" t="str">
        <f t="shared" si="515"/>
        <v>0</v>
      </c>
      <c r="J1695" t="str">
        <f t="shared" si="523"/>
        <v>00</v>
      </c>
      <c r="K1695">
        <v>20150623</v>
      </c>
      <c r="L1695" t="str">
        <f>"015055"</f>
        <v>015055</v>
      </c>
      <c r="M1695" t="str">
        <f>"00012"</f>
        <v>00012</v>
      </c>
      <c r="N1695" t="s">
        <v>279</v>
      </c>
      <c r="O1695">
        <v>445.94</v>
      </c>
      <c r="Q1695" t="s">
        <v>33</v>
      </c>
      <c r="R1695" t="s">
        <v>34</v>
      </c>
      <c r="S1695" t="s">
        <v>35</v>
      </c>
      <c r="T1695" t="s">
        <v>35</v>
      </c>
      <c r="U1695" t="s">
        <v>34</v>
      </c>
      <c r="V1695" t="str">
        <f>""</f>
        <v/>
      </c>
      <c r="W1695">
        <v>20150623</v>
      </c>
      <c r="X1695" t="s">
        <v>280</v>
      </c>
      <c r="Y1695" t="s">
        <v>916</v>
      </c>
      <c r="Z1695" t="s">
        <v>916</v>
      </c>
      <c r="AA1695">
        <v>0</v>
      </c>
      <c r="AB1695" t="s">
        <v>142</v>
      </c>
      <c r="AC1695" t="s">
        <v>282</v>
      </c>
      <c r="AD1695" t="s">
        <v>144</v>
      </c>
      <c r="AE1695" t="str">
        <f t="shared" si="518"/>
        <v>06</v>
      </c>
      <c r="AF1695" t="s">
        <v>40</v>
      </c>
    </row>
    <row r="1696" spans="1:32" x14ac:dyDescent="0.25">
      <c r="A1696">
        <v>5</v>
      </c>
      <c r="B1696">
        <v>420</v>
      </c>
      <c r="C1696" t="str">
        <f t="shared" si="524"/>
        <v>00</v>
      </c>
      <c r="D1696">
        <v>2159</v>
      </c>
      <c r="E1696" t="str">
        <f t="shared" si="525"/>
        <v>00</v>
      </c>
      <c r="F1696" t="str">
        <f>"009"</f>
        <v>009</v>
      </c>
      <c r="G1696">
        <v>5</v>
      </c>
      <c r="H1696" t="str">
        <f t="shared" si="526"/>
        <v>00</v>
      </c>
      <c r="I1696" t="str">
        <f t="shared" si="515"/>
        <v>0</v>
      </c>
      <c r="J1696" t="str">
        <f t="shared" si="523"/>
        <v>00</v>
      </c>
      <c r="K1696">
        <v>20150623</v>
      </c>
      <c r="L1696" t="str">
        <f>"015055"</f>
        <v>015055</v>
      </c>
      <c r="M1696" t="str">
        <f>"00012"</f>
        <v>00012</v>
      </c>
      <c r="N1696" t="s">
        <v>279</v>
      </c>
      <c r="O1696">
        <v>380.11</v>
      </c>
      <c r="Q1696" t="s">
        <v>33</v>
      </c>
      <c r="R1696" t="s">
        <v>34</v>
      </c>
      <c r="S1696" t="s">
        <v>35</v>
      </c>
      <c r="T1696" t="s">
        <v>35</v>
      </c>
      <c r="U1696" t="s">
        <v>34</v>
      </c>
      <c r="V1696" t="str">
        <f>""</f>
        <v/>
      </c>
      <c r="W1696">
        <v>20150623</v>
      </c>
      <c r="X1696" t="s">
        <v>283</v>
      </c>
      <c r="Y1696" t="s">
        <v>917</v>
      </c>
      <c r="Z1696" t="s">
        <v>917</v>
      </c>
      <c r="AA1696">
        <v>0</v>
      </c>
      <c r="AB1696" t="s">
        <v>142</v>
      </c>
      <c r="AC1696" t="s">
        <v>285</v>
      </c>
      <c r="AD1696" t="s">
        <v>144</v>
      </c>
      <c r="AE1696" t="str">
        <f t="shared" si="518"/>
        <v>06</v>
      </c>
      <c r="AF1696" t="s">
        <v>40</v>
      </c>
    </row>
    <row r="1697" spans="1:32" x14ac:dyDescent="0.25">
      <c r="A1697">
        <v>5</v>
      </c>
      <c r="B1697">
        <v>420</v>
      </c>
      <c r="C1697" t="str">
        <f t="shared" si="524"/>
        <v>00</v>
      </c>
      <c r="D1697">
        <v>2153</v>
      </c>
      <c r="E1697" t="str">
        <f t="shared" si="525"/>
        <v>00</v>
      </c>
      <c r="F1697" t="str">
        <f>"005"</f>
        <v>005</v>
      </c>
      <c r="G1697">
        <v>5</v>
      </c>
      <c r="H1697" t="str">
        <f t="shared" si="526"/>
        <v>00</v>
      </c>
      <c r="I1697" t="str">
        <f t="shared" si="515"/>
        <v>0</v>
      </c>
      <c r="J1697" t="str">
        <f t="shared" si="523"/>
        <v>00</v>
      </c>
      <c r="K1697">
        <v>20150623</v>
      </c>
      <c r="L1697" t="str">
        <f>"015056"</f>
        <v>015056</v>
      </c>
      <c r="M1697" t="str">
        <f>"00226"</f>
        <v>00226</v>
      </c>
      <c r="N1697" t="s">
        <v>877</v>
      </c>
      <c r="O1697">
        <v>757.25</v>
      </c>
      <c r="Q1697" t="s">
        <v>33</v>
      </c>
      <c r="R1697" t="s">
        <v>34</v>
      </c>
      <c r="S1697" t="s">
        <v>35</v>
      </c>
      <c r="T1697" t="s">
        <v>35</v>
      </c>
      <c r="U1697" t="s">
        <v>34</v>
      </c>
      <c r="V1697" t="str">
        <f>""</f>
        <v/>
      </c>
      <c r="W1697">
        <v>20150623</v>
      </c>
      <c r="X1697" t="s">
        <v>287</v>
      </c>
      <c r="Y1697" t="s">
        <v>916</v>
      </c>
      <c r="Z1697" t="s">
        <v>916</v>
      </c>
      <c r="AA1697">
        <v>0</v>
      </c>
      <c r="AB1697" t="s">
        <v>142</v>
      </c>
      <c r="AC1697" t="s">
        <v>288</v>
      </c>
      <c r="AD1697" t="s">
        <v>144</v>
      </c>
      <c r="AE1697" t="str">
        <f t="shared" si="518"/>
        <v>06</v>
      </c>
      <c r="AF1697" t="s">
        <v>40</v>
      </c>
    </row>
    <row r="1698" spans="1:32" x14ac:dyDescent="0.25">
      <c r="A1698">
        <v>5</v>
      </c>
      <c r="B1698">
        <v>420</v>
      </c>
      <c r="C1698" t="str">
        <f t="shared" si="524"/>
        <v>00</v>
      </c>
      <c r="D1698">
        <v>2153</v>
      </c>
      <c r="E1698" t="str">
        <f t="shared" si="525"/>
        <v>00</v>
      </c>
      <c r="F1698" t="str">
        <f>"006"</f>
        <v>006</v>
      </c>
      <c r="G1698">
        <v>5</v>
      </c>
      <c r="H1698" t="str">
        <f t="shared" si="526"/>
        <v>00</v>
      </c>
      <c r="I1698" t="str">
        <f t="shared" si="515"/>
        <v>0</v>
      </c>
      <c r="J1698" t="str">
        <f t="shared" si="523"/>
        <v>00</v>
      </c>
      <c r="K1698">
        <v>20150623</v>
      </c>
      <c r="L1698" t="str">
        <f>"015056"</f>
        <v>015056</v>
      </c>
      <c r="M1698" t="str">
        <f>"00226"</f>
        <v>00226</v>
      </c>
      <c r="N1698" t="s">
        <v>877</v>
      </c>
      <c r="O1698">
        <v>162.06</v>
      </c>
      <c r="Q1698" t="s">
        <v>33</v>
      </c>
      <c r="R1698" t="s">
        <v>34</v>
      </c>
      <c r="S1698" t="s">
        <v>35</v>
      </c>
      <c r="T1698" t="s">
        <v>35</v>
      </c>
      <c r="U1698" t="s">
        <v>34</v>
      </c>
      <c r="V1698" t="str">
        <f>""</f>
        <v/>
      </c>
      <c r="W1698">
        <v>20150623</v>
      </c>
      <c r="X1698" t="s">
        <v>289</v>
      </c>
      <c r="Y1698" t="s">
        <v>916</v>
      </c>
      <c r="Z1698" t="s">
        <v>916</v>
      </c>
      <c r="AA1698">
        <v>0</v>
      </c>
      <c r="AB1698" t="s">
        <v>142</v>
      </c>
      <c r="AC1698" t="s">
        <v>290</v>
      </c>
      <c r="AD1698" t="s">
        <v>144</v>
      </c>
      <c r="AE1698" t="str">
        <f t="shared" si="518"/>
        <v>06</v>
      </c>
      <c r="AF1698" t="s">
        <v>40</v>
      </c>
    </row>
    <row r="1699" spans="1:32" x14ac:dyDescent="0.25">
      <c r="A1699">
        <v>5</v>
      </c>
      <c r="B1699">
        <v>420</v>
      </c>
      <c r="C1699" t="str">
        <f t="shared" si="524"/>
        <v>00</v>
      </c>
      <c r="D1699">
        <v>2159</v>
      </c>
      <c r="E1699" t="str">
        <f t="shared" si="525"/>
        <v>00</v>
      </c>
      <c r="F1699" t="str">
        <f>"021"</f>
        <v>021</v>
      </c>
      <c r="G1699">
        <v>5</v>
      </c>
      <c r="H1699" t="str">
        <f t="shared" si="526"/>
        <v>00</v>
      </c>
      <c r="I1699" t="str">
        <f t="shared" si="515"/>
        <v>0</v>
      </c>
      <c r="J1699" t="str">
        <f t="shared" si="523"/>
        <v>00</v>
      </c>
      <c r="K1699">
        <v>20150623</v>
      </c>
      <c r="L1699" t="str">
        <f>"015057"</f>
        <v>015057</v>
      </c>
      <c r="M1699" t="str">
        <f>"00291"</f>
        <v>00291</v>
      </c>
      <c r="N1699" t="s">
        <v>658</v>
      </c>
      <c r="O1699" s="1">
        <v>1250</v>
      </c>
      <c r="Q1699" t="s">
        <v>33</v>
      </c>
      <c r="R1699" t="s">
        <v>34</v>
      </c>
      <c r="S1699" t="s">
        <v>35</v>
      </c>
      <c r="T1699" t="s">
        <v>35</v>
      </c>
      <c r="U1699" t="s">
        <v>34</v>
      </c>
      <c r="V1699" t="str">
        <f>""</f>
        <v/>
      </c>
      <c r="W1699">
        <v>20150623</v>
      </c>
      <c r="X1699" t="s">
        <v>292</v>
      </c>
      <c r="Y1699" t="s">
        <v>918</v>
      </c>
      <c r="Z1699" t="s">
        <v>918</v>
      </c>
      <c r="AA1699">
        <v>0</v>
      </c>
      <c r="AB1699" t="s">
        <v>142</v>
      </c>
      <c r="AC1699" t="s">
        <v>294</v>
      </c>
      <c r="AD1699" t="s">
        <v>144</v>
      </c>
      <c r="AE1699" t="str">
        <f t="shared" si="518"/>
        <v>06</v>
      </c>
      <c r="AF1699" t="s">
        <v>40</v>
      </c>
    </row>
    <row r="1700" spans="1:32" x14ac:dyDescent="0.25">
      <c r="A1700">
        <v>5</v>
      </c>
      <c r="B1700">
        <v>420</v>
      </c>
      <c r="C1700" t="str">
        <f t="shared" si="524"/>
        <v>00</v>
      </c>
      <c r="D1700">
        <v>2159</v>
      </c>
      <c r="E1700" t="str">
        <f t="shared" si="525"/>
        <v>00</v>
      </c>
      <c r="F1700" t="str">
        <f>"150"</f>
        <v>150</v>
      </c>
      <c r="G1700">
        <v>5</v>
      </c>
      <c r="H1700" t="str">
        <f t="shared" si="526"/>
        <v>00</v>
      </c>
      <c r="I1700" t="str">
        <f t="shared" si="515"/>
        <v>0</v>
      </c>
      <c r="J1700" t="str">
        <f t="shared" si="523"/>
        <v>00</v>
      </c>
      <c r="K1700">
        <v>20150623</v>
      </c>
      <c r="L1700" t="str">
        <f>"015058"</f>
        <v>015058</v>
      </c>
      <c r="M1700" t="str">
        <f>"00355"</f>
        <v>00355</v>
      </c>
      <c r="N1700" t="s">
        <v>295</v>
      </c>
      <c r="O1700">
        <v>417.16</v>
      </c>
      <c r="Q1700" t="s">
        <v>33</v>
      </c>
      <c r="R1700" t="s">
        <v>34</v>
      </c>
      <c r="S1700" t="s">
        <v>35</v>
      </c>
      <c r="T1700" t="s">
        <v>35</v>
      </c>
      <c r="U1700" t="s">
        <v>34</v>
      </c>
      <c r="V1700" t="str">
        <f>""</f>
        <v/>
      </c>
      <c r="W1700">
        <v>20150623</v>
      </c>
      <c r="X1700" t="s">
        <v>296</v>
      </c>
      <c r="Y1700" t="s">
        <v>918</v>
      </c>
      <c r="Z1700" t="s">
        <v>918</v>
      </c>
      <c r="AA1700">
        <v>0</v>
      </c>
      <c r="AB1700" t="s">
        <v>142</v>
      </c>
      <c r="AC1700" t="s">
        <v>297</v>
      </c>
      <c r="AD1700" t="s">
        <v>144</v>
      </c>
      <c r="AE1700" t="str">
        <f t="shared" si="518"/>
        <v>06</v>
      </c>
      <c r="AF1700" t="s">
        <v>40</v>
      </c>
    </row>
    <row r="1701" spans="1:32" x14ac:dyDescent="0.25">
      <c r="A1701">
        <v>5</v>
      </c>
      <c r="B1701">
        <v>420</v>
      </c>
      <c r="C1701" t="str">
        <f t="shared" si="524"/>
        <v>00</v>
      </c>
      <c r="D1701">
        <v>2159</v>
      </c>
      <c r="E1701" t="str">
        <f t="shared" si="525"/>
        <v>00</v>
      </c>
      <c r="F1701" t="str">
        <f>"154"</f>
        <v>154</v>
      </c>
      <c r="G1701">
        <v>5</v>
      </c>
      <c r="H1701" t="str">
        <f t="shared" si="526"/>
        <v>00</v>
      </c>
      <c r="I1701" t="str">
        <f t="shared" si="515"/>
        <v>0</v>
      </c>
      <c r="J1701" t="str">
        <f t="shared" si="523"/>
        <v>00</v>
      </c>
      <c r="K1701">
        <v>20150623</v>
      </c>
      <c r="L1701" t="str">
        <f>"015059"</f>
        <v>015059</v>
      </c>
      <c r="M1701" t="str">
        <f>"00684"</f>
        <v>00684</v>
      </c>
      <c r="N1701" t="s">
        <v>466</v>
      </c>
      <c r="O1701">
        <v>680</v>
      </c>
      <c r="Q1701" t="s">
        <v>33</v>
      </c>
      <c r="R1701" t="s">
        <v>34</v>
      </c>
      <c r="S1701" t="s">
        <v>35</v>
      </c>
      <c r="T1701" t="s">
        <v>35</v>
      </c>
      <c r="U1701" t="s">
        <v>34</v>
      </c>
      <c r="V1701" t="str">
        <f>""</f>
        <v/>
      </c>
      <c r="W1701">
        <v>20150623</v>
      </c>
      <c r="X1701" t="s">
        <v>467</v>
      </c>
      <c r="Y1701" t="s">
        <v>918</v>
      </c>
      <c r="Z1701" t="s">
        <v>918</v>
      </c>
      <c r="AA1701">
        <v>0</v>
      </c>
      <c r="AB1701" t="s">
        <v>142</v>
      </c>
      <c r="AC1701" t="s">
        <v>468</v>
      </c>
      <c r="AD1701" t="s">
        <v>144</v>
      </c>
      <c r="AE1701" t="str">
        <f t="shared" si="518"/>
        <v>06</v>
      </c>
      <c r="AF1701" t="s">
        <v>40</v>
      </c>
    </row>
    <row r="1702" spans="1:32" x14ac:dyDescent="0.25">
      <c r="A1702">
        <v>5</v>
      </c>
      <c r="B1702">
        <v>420</v>
      </c>
      <c r="C1702" t="str">
        <f t="shared" si="524"/>
        <v>00</v>
      </c>
      <c r="D1702">
        <v>2159</v>
      </c>
      <c r="E1702" t="str">
        <f t="shared" si="525"/>
        <v>00</v>
      </c>
      <c r="F1702" t="str">
        <f>"158"</f>
        <v>158</v>
      </c>
      <c r="G1702">
        <v>5</v>
      </c>
      <c r="H1702" t="str">
        <f t="shared" si="526"/>
        <v>00</v>
      </c>
      <c r="I1702" t="str">
        <f t="shared" si="515"/>
        <v>0</v>
      </c>
      <c r="J1702" t="str">
        <f t="shared" si="523"/>
        <v>00</v>
      </c>
      <c r="K1702">
        <v>20150623</v>
      </c>
      <c r="L1702" t="str">
        <f>"015060"</f>
        <v>015060</v>
      </c>
      <c r="M1702" t="str">
        <f>"00773"</f>
        <v>00773</v>
      </c>
      <c r="N1702" t="s">
        <v>298</v>
      </c>
      <c r="O1702">
        <v>25</v>
      </c>
      <c r="Q1702" t="s">
        <v>33</v>
      </c>
      <c r="R1702" t="s">
        <v>34</v>
      </c>
      <c r="S1702" t="s">
        <v>35</v>
      </c>
      <c r="T1702" t="s">
        <v>35</v>
      </c>
      <c r="U1702" t="s">
        <v>34</v>
      </c>
      <c r="V1702" t="str">
        <f>""</f>
        <v/>
      </c>
      <c r="W1702">
        <v>20150623</v>
      </c>
      <c r="X1702" t="s">
        <v>299</v>
      </c>
      <c r="Y1702" t="s">
        <v>919</v>
      </c>
      <c r="Z1702" t="s">
        <v>919</v>
      </c>
      <c r="AA1702">
        <v>0</v>
      </c>
      <c r="AB1702" t="s">
        <v>142</v>
      </c>
      <c r="AC1702" t="s">
        <v>298</v>
      </c>
      <c r="AD1702" t="s">
        <v>144</v>
      </c>
      <c r="AE1702" t="str">
        <f t="shared" si="518"/>
        <v>06</v>
      </c>
      <c r="AF1702" t="s">
        <v>40</v>
      </c>
    </row>
    <row r="1703" spans="1:32" x14ac:dyDescent="0.25">
      <c r="A1703">
        <v>5</v>
      </c>
      <c r="B1703">
        <v>420</v>
      </c>
      <c r="C1703" t="str">
        <f t="shared" si="524"/>
        <v>00</v>
      </c>
      <c r="D1703">
        <v>2159</v>
      </c>
      <c r="E1703" t="str">
        <f t="shared" si="525"/>
        <v>00</v>
      </c>
      <c r="F1703" t="str">
        <f>"164"</f>
        <v>164</v>
      </c>
      <c r="G1703">
        <v>5</v>
      </c>
      <c r="H1703" t="str">
        <f t="shared" si="526"/>
        <v>00</v>
      </c>
      <c r="I1703" t="str">
        <f t="shared" si="515"/>
        <v>0</v>
      </c>
      <c r="J1703" t="str">
        <f t="shared" si="523"/>
        <v>00</v>
      </c>
      <c r="K1703">
        <v>20150623</v>
      </c>
      <c r="L1703" t="str">
        <f>"015061"</f>
        <v>015061</v>
      </c>
      <c r="M1703" t="str">
        <f>"00787"</f>
        <v>00787</v>
      </c>
      <c r="N1703" t="s">
        <v>469</v>
      </c>
      <c r="O1703">
        <v>225</v>
      </c>
      <c r="Q1703" t="s">
        <v>33</v>
      </c>
      <c r="R1703" t="s">
        <v>34</v>
      </c>
      <c r="S1703" t="s">
        <v>35</v>
      </c>
      <c r="T1703" t="s">
        <v>35</v>
      </c>
      <c r="U1703" t="s">
        <v>34</v>
      </c>
      <c r="V1703" t="str">
        <f>""</f>
        <v/>
      </c>
      <c r="W1703">
        <v>20150623</v>
      </c>
      <c r="X1703" t="s">
        <v>470</v>
      </c>
      <c r="Y1703" t="s">
        <v>919</v>
      </c>
      <c r="Z1703" t="s">
        <v>919</v>
      </c>
      <c r="AA1703">
        <v>0</v>
      </c>
      <c r="AB1703" t="s">
        <v>142</v>
      </c>
      <c r="AC1703" t="s">
        <v>472</v>
      </c>
      <c r="AD1703" t="s">
        <v>144</v>
      </c>
      <c r="AE1703" t="str">
        <f t="shared" si="518"/>
        <v>06</v>
      </c>
      <c r="AF1703" t="s">
        <v>40</v>
      </c>
    </row>
    <row r="1704" spans="1:32" x14ac:dyDescent="0.25">
      <c r="A1704">
        <v>5</v>
      </c>
      <c r="B1704">
        <v>420</v>
      </c>
      <c r="C1704" t="str">
        <f t="shared" si="524"/>
        <v>00</v>
      </c>
      <c r="D1704">
        <v>2159</v>
      </c>
      <c r="E1704" t="str">
        <f t="shared" si="525"/>
        <v>00</v>
      </c>
      <c r="F1704" t="str">
        <f>"165"</f>
        <v>165</v>
      </c>
      <c r="G1704">
        <v>5</v>
      </c>
      <c r="H1704" t="str">
        <f t="shared" si="526"/>
        <v>00</v>
      </c>
      <c r="I1704" t="str">
        <f t="shared" si="515"/>
        <v>0</v>
      </c>
      <c r="J1704" t="str">
        <f t="shared" si="523"/>
        <v>00</v>
      </c>
      <c r="K1704">
        <v>20150623</v>
      </c>
      <c r="L1704" t="str">
        <f>"015062"</f>
        <v>015062</v>
      </c>
      <c r="M1704" t="str">
        <f>"00794"</f>
        <v>00794</v>
      </c>
      <c r="N1704" t="s">
        <v>613</v>
      </c>
      <c r="O1704">
        <v>30</v>
      </c>
      <c r="Q1704" t="s">
        <v>33</v>
      </c>
      <c r="R1704" t="s">
        <v>34</v>
      </c>
      <c r="S1704" t="s">
        <v>35</v>
      </c>
      <c r="T1704" t="s">
        <v>35</v>
      </c>
      <c r="U1704" t="s">
        <v>34</v>
      </c>
      <c r="V1704" t="str">
        <f>""</f>
        <v/>
      </c>
      <c r="W1704">
        <v>20150623</v>
      </c>
      <c r="X1704" t="s">
        <v>614</v>
      </c>
      <c r="Y1704" t="s">
        <v>918</v>
      </c>
      <c r="Z1704" t="s">
        <v>918</v>
      </c>
      <c r="AA1704">
        <v>0</v>
      </c>
      <c r="AB1704" t="s">
        <v>142</v>
      </c>
      <c r="AC1704" t="s">
        <v>613</v>
      </c>
      <c r="AD1704" t="s">
        <v>144</v>
      </c>
      <c r="AE1704" t="str">
        <f t="shared" si="518"/>
        <v>06</v>
      </c>
      <c r="AF1704" t="s">
        <v>40</v>
      </c>
    </row>
    <row r="1705" spans="1:32" x14ac:dyDescent="0.25">
      <c r="A1705">
        <v>5</v>
      </c>
      <c r="B1705">
        <v>211</v>
      </c>
      <c r="C1705" t="str">
        <f t="shared" ref="C1705:C1711" si="527">"11"</f>
        <v>11</v>
      </c>
      <c r="D1705">
        <v>6399</v>
      </c>
      <c r="E1705" t="str">
        <f t="shared" si="525"/>
        <v>00</v>
      </c>
      <c r="F1705" t="str">
        <f>"101"</f>
        <v>101</v>
      </c>
      <c r="G1705">
        <v>5</v>
      </c>
      <c r="H1705" t="str">
        <f t="shared" ref="H1705:H1710" si="528">"30"</f>
        <v>30</v>
      </c>
      <c r="I1705" t="str">
        <f t="shared" si="515"/>
        <v>0</v>
      </c>
      <c r="J1705" t="str">
        <f>"28"</f>
        <v>28</v>
      </c>
      <c r="K1705">
        <v>20150630</v>
      </c>
      <c r="L1705" t="str">
        <f t="shared" ref="L1705:L1741" si="529">"015063"</f>
        <v>015063</v>
      </c>
      <c r="M1705" t="str">
        <f t="shared" ref="M1705:M1741" si="530">"00015"</f>
        <v>00015</v>
      </c>
      <c r="N1705" t="s">
        <v>44</v>
      </c>
      <c r="O1705">
        <v>54.11</v>
      </c>
      <c r="Q1705" t="s">
        <v>33</v>
      </c>
      <c r="R1705" t="s">
        <v>34</v>
      </c>
      <c r="S1705" t="s">
        <v>35</v>
      </c>
      <c r="T1705" t="s">
        <v>35</v>
      </c>
      <c r="U1705" t="s">
        <v>34</v>
      </c>
      <c r="V1705" t="str">
        <f>""</f>
        <v/>
      </c>
      <c r="W1705">
        <v>20150623</v>
      </c>
      <c r="X1705" t="s">
        <v>690</v>
      </c>
      <c r="Y1705" t="s">
        <v>920</v>
      </c>
      <c r="Z1705" t="s">
        <v>920</v>
      </c>
      <c r="AA1705">
        <v>0</v>
      </c>
      <c r="AB1705" t="s">
        <v>174</v>
      </c>
      <c r="AC1705" t="s">
        <v>41</v>
      </c>
      <c r="AD1705" t="s">
        <v>40</v>
      </c>
      <c r="AE1705" t="str">
        <f t="shared" si="518"/>
        <v>06</v>
      </c>
      <c r="AF1705" t="s">
        <v>40</v>
      </c>
    </row>
    <row r="1706" spans="1:32" x14ac:dyDescent="0.25">
      <c r="A1706">
        <v>5</v>
      </c>
      <c r="B1706">
        <v>211</v>
      </c>
      <c r="C1706" t="str">
        <f t="shared" si="527"/>
        <v>11</v>
      </c>
      <c r="D1706">
        <v>6399</v>
      </c>
      <c r="E1706" t="str">
        <f t="shared" si="525"/>
        <v>00</v>
      </c>
      <c r="F1706" t="str">
        <f>"101"</f>
        <v>101</v>
      </c>
      <c r="G1706">
        <v>5</v>
      </c>
      <c r="H1706" t="str">
        <f t="shared" si="528"/>
        <v>30</v>
      </c>
      <c r="I1706" t="str">
        <f t="shared" si="515"/>
        <v>0</v>
      </c>
      <c r="J1706" t="str">
        <f>"28"</f>
        <v>28</v>
      </c>
      <c r="K1706">
        <v>20150630</v>
      </c>
      <c r="L1706" t="str">
        <f t="shared" si="529"/>
        <v>015063</v>
      </c>
      <c r="M1706" t="str">
        <f t="shared" si="530"/>
        <v>00015</v>
      </c>
      <c r="N1706" t="s">
        <v>44</v>
      </c>
      <c r="O1706">
        <v>108.22</v>
      </c>
      <c r="Q1706" t="s">
        <v>33</v>
      </c>
      <c r="R1706" t="s">
        <v>34</v>
      </c>
      <c r="S1706" t="s">
        <v>35</v>
      </c>
      <c r="T1706" t="s">
        <v>35</v>
      </c>
      <c r="U1706" t="s">
        <v>34</v>
      </c>
      <c r="V1706" t="str">
        <f>""</f>
        <v/>
      </c>
      <c r="W1706">
        <v>20150623</v>
      </c>
      <c r="X1706" t="s">
        <v>690</v>
      </c>
      <c r="Y1706" t="s">
        <v>920</v>
      </c>
      <c r="Z1706" t="s">
        <v>920</v>
      </c>
      <c r="AA1706">
        <v>0</v>
      </c>
      <c r="AB1706" t="s">
        <v>174</v>
      </c>
      <c r="AC1706" t="s">
        <v>41</v>
      </c>
      <c r="AD1706" t="s">
        <v>40</v>
      </c>
      <c r="AE1706" t="str">
        <f t="shared" si="518"/>
        <v>06</v>
      </c>
      <c r="AF1706" t="s">
        <v>40</v>
      </c>
    </row>
    <row r="1707" spans="1:32" x14ac:dyDescent="0.25">
      <c r="A1707">
        <v>5</v>
      </c>
      <c r="B1707">
        <v>211</v>
      </c>
      <c r="C1707" t="str">
        <f t="shared" si="527"/>
        <v>11</v>
      </c>
      <c r="D1707">
        <v>6399</v>
      </c>
      <c r="E1707" t="str">
        <f t="shared" si="525"/>
        <v>00</v>
      </c>
      <c r="F1707" t="str">
        <f>"101"</f>
        <v>101</v>
      </c>
      <c r="G1707">
        <v>5</v>
      </c>
      <c r="H1707" t="str">
        <f t="shared" si="528"/>
        <v>30</v>
      </c>
      <c r="I1707" t="str">
        <f t="shared" si="515"/>
        <v>0</v>
      </c>
      <c r="J1707" t="str">
        <f>"28"</f>
        <v>28</v>
      </c>
      <c r="K1707">
        <v>20150630</v>
      </c>
      <c r="L1707" t="str">
        <f t="shared" si="529"/>
        <v>015063</v>
      </c>
      <c r="M1707" t="str">
        <f t="shared" si="530"/>
        <v>00015</v>
      </c>
      <c r="N1707" t="s">
        <v>44</v>
      </c>
      <c r="O1707">
        <v>108.22</v>
      </c>
      <c r="Q1707" t="s">
        <v>33</v>
      </c>
      <c r="R1707" t="s">
        <v>34</v>
      </c>
      <c r="S1707" t="s">
        <v>35</v>
      </c>
      <c r="T1707" t="s">
        <v>35</v>
      </c>
      <c r="U1707" t="s">
        <v>34</v>
      </c>
      <c r="V1707" t="str">
        <f>""</f>
        <v/>
      </c>
      <c r="W1707">
        <v>20150623</v>
      </c>
      <c r="X1707" t="s">
        <v>690</v>
      </c>
      <c r="Y1707" t="s">
        <v>920</v>
      </c>
      <c r="Z1707" t="s">
        <v>920</v>
      </c>
      <c r="AA1707">
        <v>0</v>
      </c>
      <c r="AB1707" t="s">
        <v>174</v>
      </c>
      <c r="AC1707" t="s">
        <v>41</v>
      </c>
      <c r="AD1707" t="s">
        <v>40</v>
      </c>
      <c r="AE1707" t="str">
        <f t="shared" si="518"/>
        <v>06</v>
      </c>
      <c r="AF1707" t="s">
        <v>40</v>
      </c>
    </row>
    <row r="1708" spans="1:32" x14ac:dyDescent="0.25">
      <c r="A1708">
        <v>5</v>
      </c>
      <c r="B1708">
        <v>211</v>
      </c>
      <c r="C1708" t="str">
        <f t="shared" si="527"/>
        <v>11</v>
      </c>
      <c r="D1708">
        <v>6399</v>
      </c>
      <c r="E1708" t="str">
        <f t="shared" si="525"/>
        <v>00</v>
      </c>
      <c r="F1708" t="str">
        <f>"101"</f>
        <v>101</v>
      </c>
      <c r="G1708">
        <v>5</v>
      </c>
      <c r="H1708" t="str">
        <f t="shared" si="528"/>
        <v>30</v>
      </c>
      <c r="I1708" t="str">
        <f t="shared" si="515"/>
        <v>0</v>
      </c>
      <c r="J1708" t="str">
        <f>"28"</f>
        <v>28</v>
      </c>
      <c r="K1708">
        <v>20150630</v>
      </c>
      <c r="L1708" t="str">
        <f t="shared" si="529"/>
        <v>015063</v>
      </c>
      <c r="M1708" t="str">
        <f t="shared" si="530"/>
        <v>00015</v>
      </c>
      <c r="N1708" t="s">
        <v>44</v>
      </c>
      <c r="O1708">
        <v>151.37</v>
      </c>
      <c r="Q1708" t="s">
        <v>33</v>
      </c>
      <c r="R1708" t="s">
        <v>34</v>
      </c>
      <c r="S1708" t="s">
        <v>35</v>
      </c>
      <c r="T1708" t="s">
        <v>35</v>
      </c>
      <c r="U1708" t="s">
        <v>34</v>
      </c>
      <c r="V1708" t="str">
        <f>""</f>
        <v/>
      </c>
      <c r="W1708">
        <v>20150623</v>
      </c>
      <c r="X1708" t="s">
        <v>690</v>
      </c>
      <c r="Y1708" t="s">
        <v>920</v>
      </c>
      <c r="Z1708" t="s">
        <v>920</v>
      </c>
      <c r="AA1708">
        <v>0</v>
      </c>
      <c r="AB1708" t="s">
        <v>174</v>
      </c>
      <c r="AC1708" t="s">
        <v>41</v>
      </c>
      <c r="AD1708" t="s">
        <v>40</v>
      </c>
      <c r="AE1708" t="str">
        <f t="shared" si="518"/>
        <v>06</v>
      </c>
      <c r="AF1708" t="s">
        <v>40</v>
      </c>
    </row>
    <row r="1709" spans="1:32" x14ac:dyDescent="0.25">
      <c r="A1709">
        <v>5</v>
      </c>
      <c r="B1709">
        <v>211</v>
      </c>
      <c r="C1709" t="str">
        <f t="shared" si="527"/>
        <v>11</v>
      </c>
      <c r="D1709">
        <v>6399</v>
      </c>
      <c r="E1709" t="str">
        <f t="shared" si="525"/>
        <v>00</v>
      </c>
      <c r="F1709" t="str">
        <f>"101"</f>
        <v>101</v>
      </c>
      <c r="G1709">
        <v>5</v>
      </c>
      <c r="H1709" t="str">
        <f t="shared" si="528"/>
        <v>30</v>
      </c>
      <c r="I1709" t="str">
        <f t="shared" si="515"/>
        <v>0</v>
      </c>
      <c r="J1709" t="str">
        <f>"28"</f>
        <v>28</v>
      </c>
      <c r="K1709">
        <v>20150630</v>
      </c>
      <c r="L1709" t="str">
        <f t="shared" si="529"/>
        <v>015063</v>
      </c>
      <c r="M1709" t="str">
        <f t="shared" si="530"/>
        <v>00015</v>
      </c>
      <c r="N1709" t="s">
        <v>44</v>
      </c>
      <c r="O1709">
        <v>108.22</v>
      </c>
      <c r="Q1709" t="s">
        <v>33</v>
      </c>
      <c r="R1709" t="s">
        <v>34</v>
      </c>
      <c r="S1709" t="s">
        <v>35</v>
      </c>
      <c r="T1709" t="s">
        <v>35</v>
      </c>
      <c r="U1709" t="s">
        <v>34</v>
      </c>
      <c r="V1709" t="str">
        <f>""</f>
        <v/>
      </c>
      <c r="W1709">
        <v>20150623</v>
      </c>
      <c r="X1709" t="s">
        <v>690</v>
      </c>
      <c r="Y1709" t="s">
        <v>920</v>
      </c>
      <c r="Z1709" t="s">
        <v>920</v>
      </c>
      <c r="AA1709">
        <v>0</v>
      </c>
      <c r="AB1709" t="s">
        <v>174</v>
      </c>
      <c r="AC1709" t="s">
        <v>41</v>
      </c>
      <c r="AD1709" t="s">
        <v>40</v>
      </c>
      <c r="AE1709" t="str">
        <f t="shared" si="518"/>
        <v>06</v>
      </c>
      <c r="AF1709" t="s">
        <v>40</v>
      </c>
    </row>
    <row r="1710" spans="1:32" x14ac:dyDescent="0.25">
      <c r="A1710">
        <v>5</v>
      </c>
      <c r="B1710">
        <v>255</v>
      </c>
      <c r="C1710" t="str">
        <f t="shared" si="527"/>
        <v>11</v>
      </c>
      <c r="D1710">
        <v>6219</v>
      </c>
      <c r="E1710" t="str">
        <f t="shared" si="525"/>
        <v>00</v>
      </c>
      <c r="F1710" t="str">
        <f>"999"</f>
        <v>999</v>
      </c>
      <c r="G1710">
        <v>5</v>
      </c>
      <c r="H1710" t="str">
        <f t="shared" si="528"/>
        <v>30</v>
      </c>
      <c r="I1710" t="str">
        <f t="shared" si="515"/>
        <v>0</v>
      </c>
      <c r="J1710" t="str">
        <f t="shared" ref="J1710:J1741" si="531">"00"</f>
        <v>00</v>
      </c>
      <c r="K1710">
        <v>20150630</v>
      </c>
      <c r="L1710" t="str">
        <f t="shared" si="529"/>
        <v>015063</v>
      </c>
      <c r="M1710" t="str">
        <f t="shared" si="530"/>
        <v>00015</v>
      </c>
      <c r="N1710" t="s">
        <v>44</v>
      </c>
      <c r="O1710">
        <v>429</v>
      </c>
      <c r="Q1710" t="s">
        <v>33</v>
      </c>
      <c r="R1710" t="s">
        <v>34</v>
      </c>
      <c r="S1710" t="s">
        <v>35</v>
      </c>
      <c r="T1710" t="s">
        <v>35</v>
      </c>
      <c r="U1710" t="s">
        <v>34</v>
      </c>
      <c r="V1710" t="str">
        <f>""</f>
        <v/>
      </c>
      <c r="W1710">
        <v>20150625</v>
      </c>
      <c r="X1710" t="s">
        <v>177</v>
      </c>
      <c r="Y1710" t="s">
        <v>445</v>
      </c>
      <c r="Z1710" t="s">
        <v>445</v>
      </c>
      <c r="AA1710">
        <v>0</v>
      </c>
      <c r="AB1710" t="s">
        <v>178</v>
      </c>
      <c r="AC1710" t="s">
        <v>143</v>
      </c>
      <c r="AD1710" t="s">
        <v>40</v>
      </c>
      <c r="AE1710" t="str">
        <f t="shared" si="518"/>
        <v>06</v>
      </c>
      <c r="AF1710" t="s">
        <v>40</v>
      </c>
    </row>
    <row r="1711" spans="1:32" x14ac:dyDescent="0.25">
      <c r="A1711">
        <v>5</v>
      </c>
      <c r="B1711">
        <v>420</v>
      </c>
      <c r="C1711" t="str">
        <f t="shared" si="527"/>
        <v>11</v>
      </c>
      <c r="D1711">
        <v>6399</v>
      </c>
      <c r="E1711" t="str">
        <f t="shared" si="525"/>
        <v>00</v>
      </c>
      <c r="F1711" t="str">
        <f>"001"</f>
        <v>001</v>
      </c>
      <c r="G1711">
        <v>5</v>
      </c>
      <c r="H1711" t="str">
        <f>"11"</f>
        <v>11</v>
      </c>
      <c r="I1711" t="str">
        <f t="shared" si="515"/>
        <v>0</v>
      </c>
      <c r="J1711" t="str">
        <f t="shared" si="531"/>
        <v>00</v>
      </c>
      <c r="K1711">
        <v>20150630</v>
      </c>
      <c r="L1711" t="str">
        <f t="shared" si="529"/>
        <v>015063</v>
      </c>
      <c r="M1711" t="str">
        <f t="shared" si="530"/>
        <v>00015</v>
      </c>
      <c r="N1711" t="s">
        <v>44</v>
      </c>
      <c r="O1711">
        <v>25.88</v>
      </c>
      <c r="Q1711" t="s">
        <v>33</v>
      </c>
      <c r="R1711" t="s">
        <v>34</v>
      </c>
      <c r="S1711" t="s">
        <v>35</v>
      </c>
      <c r="T1711" t="s">
        <v>35</v>
      </c>
      <c r="U1711" t="s">
        <v>34</v>
      </c>
      <c r="V1711" t="str">
        <f>""</f>
        <v/>
      </c>
      <c r="W1711">
        <v>20150623</v>
      </c>
      <c r="X1711" t="s">
        <v>239</v>
      </c>
      <c r="Y1711" t="s">
        <v>921</v>
      </c>
      <c r="Z1711" t="s">
        <v>921</v>
      </c>
      <c r="AA1711">
        <v>0</v>
      </c>
      <c r="AB1711" t="s">
        <v>142</v>
      </c>
      <c r="AC1711" t="s">
        <v>41</v>
      </c>
      <c r="AD1711" t="s">
        <v>40</v>
      </c>
      <c r="AE1711" t="str">
        <f t="shared" si="518"/>
        <v>06</v>
      </c>
      <c r="AF1711" t="s">
        <v>40</v>
      </c>
    </row>
    <row r="1712" spans="1:32" x14ac:dyDescent="0.25">
      <c r="A1712">
        <v>5</v>
      </c>
      <c r="B1712">
        <v>420</v>
      </c>
      <c r="C1712" t="str">
        <f t="shared" ref="C1712:C1747" si="532">"51"</f>
        <v>51</v>
      </c>
      <c r="D1712">
        <v>6259</v>
      </c>
      <c r="E1712" t="str">
        <f t="shared" ref="E1712:E1738" si="533">"54"</f>
        <v>54</v>
      </c>
      <c r="F1712" t="str">
        <f t="shared" ref="F1712:F1755" si="534">"999"</f>
        <v>999</v>
      </c>
      <c r="G1712">
        <v>5</v>
      </c>
      <c r="H1712" t="str">
        <f t="shared" ref="H1712:H1755" si="535">"99"</f>
        <v>99</v>
      </c>
      <c r="I1712" t="str">
        <f t="shared" si="515"/>
        <v>0</v>
      </c>
      <c r="J1712" t="str">
        <f t="shared" si="531"/>
        <v>00</v>
      </c>
      <c r="K1712">
        <v>20150630</v>
      </c>
      <c r="L1712" t="str">
        <f t="shared" si="529"/>
        <v>015063</v>
      </c>
      <c r="M1712" t="str">
        <f t="shared" si="530"/>
        <v>00015</v>
      </c>
      <c r="N1712" t="s">
        <v>44</v>
      </c>
      <c r="O1712">
        <v>30.56</v>
      </c>
      <c r="Q1712" t="s">
        <v>33</v>
      </c>
      <c r="R1712" t="s">
        <v>34</v>
      </c>
      <c r="S1712" t="s">
        <v>35</v>
      </c>
      <c r="T1712" t="s">
        <v>35</v>
      </c>
      <c r="U1712" t="s">
        <v>34</v>
      </c>
      <c r="V1712" t="str">
        <f>""</f>
        <v/>
      </c>
      <c r="W1712">
        <v>20150623</v>
      </c>
      <c r="X1712" t="s">
        <v>216</v>
      </c>
      <c r="Y1712" t="s">
        <v>922</v>
      </c>
      <c r="Z1712" t="s">
        <v>922</v>
      </c>
      <c r="AA1712">
        <v>0</v>
      </c>
      <c r="AB1712" t="s">
        <v>142</v>
      </c>
      <c r="AC1712" t="s">
        <v>143</v>
      </c>
      <c r="AD1712" t="s">
        <v>40</v>
      </c>
      <c r="AE1712" t="str">
        <f t="shared" si="518"/>
        <v>06</v>
      </c>
      <c r="AF1712" t="s">
        <v>40</v>
      </c>
    </row>
    <row r="1713" spans="1:32" x14ac:dyDescent="0.25">
      <c r="A1713">
        <v>5</v>
      </c>
      <c r="B1713">
        <v>420</v>
      </c>
      <c r="C1713" t="str">
        <f t="shared" si="532"/>
        <v>51</v>
      </c>
      <c r="D1713">
        <v>6259</v>
      </c>
      <c r="E1713" t="str">
        <f t="shared" si="533"/>
        <v>54</v>
      </c>
      <c r="F1713" t="str">
        <f t="shared" si="534"/>
        <v>999</v>
      </c>
      <c r="G1713">
        <v>5</v>
      </c>
      <c r="H1713" t="str">
        <f t="shared" si="535"/>
        <v>99</v>
      </c>
      <c r="I1713" t="str">
        <f t="shared" si="515"/>
        <v>0</v>
      </c>
      <c r="J1713" t="str">
        <f t="shared" si="531"/>
        <v>00</v>
      </c>
      <c r="K1713">
        <v>20150630</v>
      </c>
      <c r="L1713" t="str">
        <f t="shared" si="529"/>
        <v>015063</v>
      </c>
      <c r="M1713" t="str">
        <f t="shared" si="530"/>
        <v>00015</v>
      </c>
      <c r="N1713" t="s">
        <v>44</v>
      </c>
      <c r="O1713">
        <v>30.56</v>
      </c>
      <c r="Q1713" t="s">
        <v>33</v>
      </c>
      <c r="R1713" t="s">
        <v>34</v>
      </c>
      <c r="S1713" t="s">
        <v>35</v>
      </c>
      <c r="T1713" t="s">
        <v>35</v>
      </c>
      <c r="U1713" t="s">
        <v>34</v>
      </c>
      <c r="V1713" t="str">
        <f>""</f>
        <v/>
      </c>
      <c r="W1713">
        <v>20150623</v>
      </c>
      <c r="X1713" t="s">
        <v>216</v>
      </c>
      <c r="Y1713" t="s">
        <v>922</v>
      </c>
      <c r="Z1713" t="s">
        <v>922</v>
      </c>
      <c r="AA1713">
        <v>0</v>
      </c>
      <c r="AB1713" t="s">
        <v>142</v>
      </c>
      <c r="AC1713" t="s">
        <v>143</v>
      </c>
      <c r="AD1713" t="s">
        <v>40</v>
      </c>
      <c r="AE1713" t="str">
        <f t="shared" si="518"/>
        <v>06</v>
      </c>
      <c r="AF1713" t="s">
        <v>40</v>
      </c>
    </row>
    <row r="1714" spans="1:32" x14ac:dyDescent="0.25">
      <c r="A1714">
        <v>5</v>
      </c>
      <c r="B1714">
        <v>420</v>
      </c>
      <c r="C1714" t="str">
        <f t="shared" si="532"/>
        <v>51</v>
      </c>
      <c r="D1714">
        <v>6259</v>
      </c>
      <c r="E1714" t="str">
        <f t="shared" si="533"/>
        <v>54</v>
      </c>
      <c r="F1714" t="str">
        <f t="shared" si="534"/>
        <v>999</v>
      </c>
      <c r="G1714">
        <v>5</v>
      </c>
      <c r="H1714" t="str">
        <f t="shared" si="535"/>
        <v>99</v>
      </c>
      <c r="I1714" t="str">
        <f t="shared" si="515"/>
        <v>0</v>
      </c>
      <c r="J1714" t="str">
        <f t="shared" si="531"/>
        <v>00</v>
      </c>
      <c r="K1714">
        <v>20150630</v>
      </c>
      <c r="L1714" t="str">
        <f t="shared" si="529"/>
        <v>015063</v>
      </c>
      <c r="M1714" t="str">
        <f t="shared" si="530"/>
        <v>00015</v>
      </c>
      <c r="N1714" t="s">
        <v>44</v>
      </c>
      <c r="O1714">
        <v>52.31</v>
      </c>
      <c r="Q1714" t="s">
        <v>33</v>
      </c>
      <c r="R1714" t="s">
        <v>34</v>
      </c>
      <c r="S1714" t="s">
        <v>35</v>
      </c>
      <c r="T1714" t="s">
        <v>35</v>
      </c>
      <c r="U1714" t="s">
        <v>34</v>
      </c>
      <c r="V1714" t="str">
        <f>""</f>
        <v/>
      </c>
      <c r="W1714">
        <v>20150623</v>
      </c>
      <c r="X1714" t="s">
        <v>216</v>
      </c>
      <c r="Y1714" t="s">
        <v>922</v>
      </c>
      <c r="Z1714" t="s">
        <v>922</v>
      </c>
      <c r="AA1714">
        <v>0</v>
      </c>
      <c r="AB1714" t="s">
        <v>142</v>
      </c>
      <c r="AC1714" t="s">
        <v>143</v>
      </c>
      <c r="AD1714" t="s">
        <v>40</v>
      </c>
      <c r="AE1714" t="str">
        <f t="shared" si="518"/>
        <v>06</v>
      </c>
      <c r="AF1714" t="s">
        <v>40</v>
      </c>
    </row>
    <row r="1715" spans="1:32" x14ac:dyDescent="0.25">
      <c r="A1715">
        <v>5</v>
      </c>
      <c r="B1715">
        <v>420</v>
      </c>
      <c r="C1715" t="str">
        <f t="shared" si="532"/>
        <v>51</v>
      </c>
      <c r="D1715">
        <v>6259</v>
      </c>
      <c r="E1715" t="str">
        <f t="shared" si="533"/>
        <v>54</v>
      </c>
      <c r="F1715" t="str">
        <f t="shared" si="534"/>
        <v>999</v>
      </c>
      <c r="G1715">
        <v>5</v>
      </c>
      <c r="H1715" t="str">
        <f t="shared" si="535"/>
        <v>99</v>
      </c>
      <c r="I1715" t="str">
        <f t="shared" si="515"/>
        <v>0</v>
      </c>
      <c r="J1715" t="str">
        <f t="shared" si="531"/>
        <v>00</v>
      </c>
      <c r="K1715">
        <v>20150630</v>
      </c>
      <c r="L1715" t="str">
        <f t="shared" si="529"/>
        <v>015063</v>
      </c>
      <c r="M1715" t="str">
        <f t="shared" si="530"/>
        <v>00015</v>
      </c>
      <c r="N1715" t="s">
        <v>44</v>
      </c>
      <c r="O1715">
        <v>52.31</v>
      </c>
      <c r="Q1715" t="s">
        <v>33</v>
      </c>
      <c r="R1715" t="s">
        <v>34</v>
      </c>
      <c r="S1715" t="s">
        <v>35</v>
      </c>
      <c r="T1715" t="s">
        <v>35</v>
      </c>
      <c r="U1715" t="s">
        <v>34</v>
      </c>
      <c r="V1715" t="str">
        <f>""</f>
        <v/>
      </c>
      <c r="W1715">
        <v>20150623</v>
      </c>
      <c r="X1715" t="s">
        <v>216</v>
      </c>
      <c r="Y1715" t="s">
        <v>922</v>
      </c>
      <c r="Z1715" t="s">
        <v>922</v>
      </c>
      <c r="AA1715">
        <v>0</v>
      </c>
      <c r="AB1715" t="s">
        <v>142</v>
      </c>
      <c r="AC1715" t="s">
        <v>143</v>
      </c>
      <c r="AD1715" t="s">
        <v>40</v>
      </c>
      <c r="AE1715" t="str">
        <f t="shared" si="518"/>
        <v>06</v>
      </c>
      <c r="AF1715" t="s">
        <v>40</v>
      </c>
    </row>
    <row r="1716" spans="1:32" x14ac:dyDescent="0.25">
      <c r="A1716">
        <v>5</v>
      </c>
      <c r="B1716">
        <v>420</v>
      </c>
      <c r="C1716" t="str">
        <f t="shared" si="532"/>
        <v>51</v>
      </c>
      <c r="D1716">
        <v>6259</v>
      </c>
      <c r="E1716" t="str">
        <f t="shared" si="533"/>
        <v>54</v>
      </c>
      <c r="F1716" t="str">
        <f t="shared" si="534"/>
        <v>999</v>
      </c>
      <c r="G1716">
        <v>5</v>
      </c>
      <c r="H1716" t="str">
        <f t="shared" si="535"/>
        <v>99</v>
      </c>
      <c r="I1716" t="str">
        <f t="shared" si="515"/>
        <v>0</v>
      </c>
      <c r="J1716" t="str">
        <f t="shared" si="531"/>
        <v>00</v>
      </c>
      <c r="K1716">
        <v>20150630</v>
      </c>
      <c r="L1716" t="str">
        <f t="shared" si="529"/>
        <v>015063</v>
      </c>
      <c r="M1716" t="str">
        <f t="shared" si="530"/>
        <v>00015</v>
      </c>
      <c r="N1716" t="s">
        <v>44</v>
      </c>
      <c r="O1716">
        <v>52.31</v>
      </c>
      <c r="Q1716" t="s">
        <v>33</v>
      </c>
      <c r="R1716" t="s">
        <v>34</v>
      </c>
      <c r="S1716" t="s">
        <v>35</v>
      </c>
      <c r="T1716" t="s">
        <v>35</v>
      </c>
      <c r="U1716" t="s">
        <v>34</v>
      </c>
      <c r="V1716" t="str">
        <f>""</f>
        <v/>
      </c>
      <c r="W1716">
        <v>20150623</v>
      </c>
      <c r="X1716" t="s">
        <v>216</v>
      </c>
      <c r="Y1716" t="s">
        <v>922</v>
      </c>
      <c r="Z1716" t="s">
        <v>922</v>
      </c>
      <c r="AA1716">
        <v>0</v>
      </c>
      <c r="AB1716" t="s">
        <v>142</v>
      </c>
      <c r="AC1716" t="s">
        <v>143</v>
      </c>
      <c r="AD1716" t="s">
        <v>40</v>
      </c>
      <c r="AE1716" t="str">
        <f t="shared" si="518"/>
        <v>06</v>
      </c>
      <c r="AF1716" t="s">
        <v>40</v>
      </c>
    </row>
    <row r="1717" spans="1:32" x14ac:dyDescent="0.25">
      <c r="A1717">
        <v>5</v>
      </c>
      <c r="B1717">
        <v>420</v>
      </c>
      <c r="C1717" t="str">
        <f t="shared" si="532"/>
        <v>51</v>
      </c>
      <c r="D1717">
        <v>6259</v>
      </c>
      <c r="E1717" t="str">
        <f t="shared" si="533"/>
        <v>54</v>
      </c>
      <c r="F1717" t="str">
        <f t="shared" si="534"/>
        <v>999</v>
      </c>
      <c r="G1717">
        <v>5</v>
      </c>
      <c r="H1717" t="str">
        <f t="shared" si="535"/>
        <v>99</v>
      </c>
      <c r="I1717" t="str">
        <f t="shared" si="515"/>
        <v>0</v>
      </c>
      <c r="J1717" t="str">
        <f t="shared" si="531"/>
        <v>00</v>
      </c>
      <c r="K1717">
        <v>20150630</v>
      </c>
      <c r="L1717" t="str">
        <f t="shared" si="529"/>
        <v>015063</v>
      </c>
      <c r="M1717" t="str">
        <f t="shared" si="530"/>
        <v>00015</v>
      </c>
      <c r="N1717" t="s">
        <v>44</v>
      </c>
      <c r="O1717">
        <v>30.56</v>
      </c>
      <c r="Q1717" t="s">
        <v>33</v>
      </c>
      <c r="R1717" t="s">
        <v>34</v>
      </c>
      <c r="S1717" t="s">
        <v>35</v>
      </c>
      <c r="T1717" t="s">
        <v>35</v>
      </c>
      <c r="U1717" t="s">
        <v>34</v>
      </c>
      <c r="V1717" t="str">
        <f>""</f>
        <v/>
      </c>
      <c r="W1717">
        <v>20150623</v>
      </c>
      <c r="X1717" t="s">
        <v>216</v>
      </c>
      <c r="Y1717" t="s">
        <v>922</v>
      </c>
      <c r="Z1717" t="s">
        <v>922</v>
      </c>
      <c r="AA1717">
        <v>0</v>
      </c>
      <c r="AB1717" t="s">
        <v>142</v>
      </c>
      <c r="AC1717" t="s">
        <v>143</v>
      </c>
      <c r="AD1717" t="s">
        <v>40</v>
      </c>
      <c r="AE1717" t="str">
        <f t="shared" ref="AE1717:AE1748" si="536">"06"</f>
        <v>06</v>
      </c>
      <c r="AF1717" t="s">
        <v>40</v>
      </c>
    </row>
    <row r="1718" spans="1:32" x14ac:dyDescent="0.25">
      <c r="A1718">
        <v>5</v>
      </c>
      <c r="B1718">
        <v>420</v>
      </c>
      <c r="C1718" t="str">
        <f t="shared" si="532"/>
        <v>51</v>
      </c>
      <c r="D1718">
        <v>6259</v>
      </c>
      <c r="E1718" t="str">
        <f t="shared" si="533"/>
        <v>54</v>
      </c>
      <c r="F1718" t="str">
        <f t="shared" si="534"/>
        <v>999</v>
      </c>
      <c r="G1718">
        <v>5</v>
      </c>
      <c r="H1718" t="str">
        <f t="shared" si="535"/>
        <v>99</v>
      </c>
      <c r="I1718" t="str">
        <f t="shared" si="515"/>
        <v>0</v>
      </c>
      <c r="J1718" t="str">
        <f t="shared" si="531"/>
        <v>00</v>
      </c>
      <c r="K1718">
        <v>20150630</v>
      </c>
      <c r="L1718" t="str">
        <f t="shared" si="529"/>
        <v>015063</v>
      </c>
      <c r="M1718" t="str">
        <f t="shared" si="530"/>
        <v>00015</v>
      </c>
      <c r="N1718" t="s">
        <v>44</v>
      </c>
      <c r="O1718">
        <v>32.25</v>
      </c>
      <c r="Q1718" t="s">
        <v>33</v>
      </c>
      <c r="R1718" t="s">
        <v>34</v>
      </c>
      <c r="S1718" t="s">
        <v>35</v>
      </c>
      <c r="T1718" t="s">
        <v>35</v>
      </c>
      <c r="U1718" t="s">
        <v>34</v>
      </c>
      <c r="V1718" t="str">
        <f>""</f>
        <v/>
      </c>
      <c r="W1718">
        <v>20150623</v>
      </c>
      <c r="X1718" t="s">
        <v>216</v>
      </c>
      <c r="Y1718" t="s">
        <v>922</v>
      </c>
      <c r="Z1718" t="s">
        <v>922</v>
      </c>
      <c r="AA1718">
        <v>0</v>
      </c>
      <c r="AB1718" t="s">
        <v>142</v>
      </c>
      <c r="AC1718" t="s">
        <v>143</v>
      </c>
      <c r="AD1718" t="s">
        <v>40</v>
      </c>
      <c r="AE1718" t="str">
        <f t="shared" si="536"/>
        <v>06</v>
      </c>
      <c r="AF1718" t="s">
        <v>40</v>
      </c>
    </row>
    <row r="1719" spans="1:32" x14ac:dyDescent="0.25">
      <c r="A1719">
        <v>5</v>
      </c>
      <c r="B1719">
        <v>420</v>
      </c>
      <c r="C1719" t="str">
        <f t="shared" si="532"/>
        <v>51</v>
      </c>
      <c r="D1719">
        <v>6259</v>
      </c>
      <c r="E1719" t="str">
        <f t="shared" si="533"/>
        <v>54</v>
      </c>
      <c r="F1719" t="str">
        <f t="shared" si="534"/>
        <v>999</v>
      </c>
      <c r="G1719">
        <v>5</v>
      </c>
      <c r="H1719" t="str">
        <f t="shared" si="535"/>
        <v>99</v>
      </c>
      <c r="I1719" t="str">
        <f t="shared" si="515"/>
        <v>0</v>
      </c>
      <c r="J1719" t="str">
        <f t="shared" si="531"/>
        <v>00</v>
      </c>
      <c r="K1719">
        <v>20150630</v>
      </c>
      <c r="L1719" t="str">
        <f t="shared" si="529"/>
        <v>015063</v>
      </c>
      <c r="M1719" t="str">
        <f t="shared" si="530"/>
        <v>00015</v>
      </c>
      <c r="N1719" t="s">
        <v>44</v>
      </c>
      <c r="O1719">
        <v>30.56</v>
      </c>
      <c r="Q1719" t="s">
        <v>33</v>
      </c>
      <c r="R1719" t="s">
        <v>34</v>
      </c>
      <c r="S1719" t="s">
        <v>35</v>
      </c>
      <c r="T1719" t="s">
        <v>35</v>
      </c>
      <c r="U1719" t="s">
        <v>34</v>
      </c>
      <c r="V1719" t="str">
        <f>""</f>
        <v/>
      </c>
      <c r="W1719">
        <v>20150623</v>
      </c>
      <c r="X1719" t="s">
        <v>216</v>
      </c>
      <c r="Y1719" t="s">
        <v>922</v>
      </c>
      <c r="Z1719" t="s">
        <v>922</v>
      </c>
      <c r="AA1719">
        <v>0</v>
      </c>
      <c r="AB1719" t="s">
        <v>142</v>
      </c>
      <c r="AC1719" t="s">
        <v>143</v>
      </c>
      <c r="AD1719" t="s">
        <v>40</v>
      </c>
      <c r="AE1719" t="str">
        <f t="shared" si="536"/>
        <v>06</v>
      </c>
      <c r="AF1719" t="s">
        <v>40</v>
      </c>
    </row>
    <row r="1720" spans="1:32" x14ac:dyDescent="0.25">
      <c r="A1720">
        <v>5</v>
      </c>
      <c r="B1720">
        <v>420</v>
      </c>
      <c r="C1720" t="str">
        <f t="shared" si="532"/>
        <v>51</v>
      </c>
      <c r="D1720">
        <v>6259</v>
      </c>
      <c r="E1720" t="str">
        <f t="shared" si="533"/>
        <v>54</v>
      </c>
      <c r="F1720" t="str">
        <f t="shared" si="534"/>
        <v>999</v>
      </c>
      <c r="G1720">
        <v>5</v>
      </c>
      <c r="H1720" t="str">
        <f t="shared" si="535"/>
        <v>99</v>
      </c>
      <c r="I1720" t="str">
        <f t="shared" si="515"/>
        <v>0</v>
      </c>
      <c r="J1720" t="str">
        <f t="shared" si="531"/>
        <v>00</v>
      </c>
      <c r="K1720">
        <v>20150630</v>
      </c>
      <c r="L1720" t="str">
        <f t="shared" si="529"/>
        <v>015063</v>
      </c>
      <c r="M1720" t="str">
        <f t="shared" si="530"/>
        <v>00015</v>
      </c>
      <c r="N1720" t="s">
        <v>44</v>
      </c>
      <c r="O1720">
        <v>30.56</v>
      </c>
      <c r="Q1720" t="s">
        <v>33</v>
      </c>
      <c r="R1720" t="s">
        <v>34</v>
      </c>
      <c r="S1720" t="s">
        <v>35</v>
      </c>
      <c r="T1720" t="s">
        <v>35</v>
      </c>
      <c r="U1720" t="s">
        <v>34</v>
      </c>
      <c r="V1720" t="str">
        <f>""</f>
        <v/>
      </c>
      <c r="W1720">
        <v>20150623</v>
      </c>
      <c r="X1720" t="s">
        <v>216</v>
      </c>
      <c r="Y1720" t="s">
        <v>922</v>
      </c>
      <c r="Z1720" t="s">
        <v>922</v>
      </c>
      <c r="AA1720">
        <v>0</v>
      </c>
      <c r="AB1720" t="s">
        <v>142</v>
      </c>
      <c r="AC1720" t="s">
        <v>143</v>
      </c>
      <c r="AD1720" t="s">
        <v>40</v>
      </c>
      <c r="AE1720" t="str">
        <f t="shared" si="536"/>
        <v>06</v>
      </c>
      <c r="AF1720" t="s">
        <v>40</v>
      </c>
    </row>
    <row r="1721" spans="1:32" x14ac:dyDescent="0.25">
      <c r="A1721">
        <v>5</v>
      </c>
      <c r="B1721">
        <v>420</v>
      </c>
      <c r="C1721" t="str">
        <f t="shared" si="532"/>
        <v>51</v>
      </c>
      <c r="D1721">
        <v>6259</v>
      </c>
      <c r="E1721" t="str">
        <f t="shared" si="533"/>
        <v>54</v>
      </c>
      <c r="F1721" t="str">
        <f t="shared" si="534"/>
        <v>999</v>
      </c>
      <c r="G1721">
        <v>5</v>
      </c>
      <c r="H1721" t="str">
        <f t="shared" si="535"/>
        <v>99</v>
      </c>
      <c r="I1721" t="str">
        <f t="shared" si="515"/>
        <v>0</v>
      </c>
      <c r="J1721" t="str">
        <f t="shared" si="531"/>
        <v>00</v>
      </c>
      <c r="K1721">
        <v>20150630</v>
      </c>
      <c r="L1721" t="str">
        <f t="shared" si="529"/>
        <v>015063</v>
      </c>
      <c r="M1721" t="str">
        <f t="shared" si="530"/>
        <v>00015</v>
      </c>
      <c r="N1721" t="s">
        <v>44</v>
      </c>
      <c r="O1721">
        <v>15.06</v>
      </c>
      <c r="Q1721" t="s">
        <v>33</v>
      </c>
      <c r="R1721" t="s">
        <v>34</v>
      </c>
      <c r="S1721" t="s">
        <v>35</v>
      </c>
      <c r="T1721" t="s">
        <v>35</v>
      </c>
      <c r="U1721" t="s">
        <v>34</v>
      </c>
      <c r="V1721" t="str">
        <f>""</f>
        <v/>
      </c>
      <c r="W1721">
        <v>20150623</v>
      </c>
      <c r="X1721" t="s">
        <v>216</v>
      </c>
      <c r="Y1721" t="s">
        <v>922</v>
      </c>
      <c r="Z1721" t="s">
        <v>922</v>
      </c>
      <c r="AA1721">
        <v>0</v>
      </c>
      <c r="AB1721" t="s">
        <v>142</v>
      </c>
      <c r="AC1721" t="s">
        <v>143</v>
      </c>
      <c r="AD1721" t="s">
        <v>40</v>
      </c>
      <c r="AE1721" t="str">
        <f t="shared" si="536"/>
        <v>06</v>
      </c>
      <c r="AF1721" t="s">
        <v>40</v>
      </c>
    </row>
    <row r="1722" spans="1:32" x14ac:dyDescent="0.25">
      <c r="A1722">
        <v>5</v>
      </c>
      <c r="B1722">
        <v>420</v>
      </c>
      <c r="C1722" t="str">
        <f t="shared" si="532"/>
        <v>51</v>
      </c>
      <c r="D1722">
        <v>6259</v>
      </c>
      <c r="E1722" t="str">
        <f t="shared" si="533"/>
        <v>54</v>
      </c>
      <c r="F1722" t="str">
        <f t="shared" si="534"/>
        <v>999</v>
      </c>
      <c r="G1722">
        <v>5</v>
      </c>
      <c r="H1722" t="str">
        <f t="shared" si="535"/>
        <v>99</v>
      </c>
      <c r="I1722" t="str">
        <f t="shared" si="515"/>
        <v>0</v>
      </c>
      <c r="J1722" t="str">
        <f t="shared" si="531"/>
        <v>00</v>
      </c>
      <c r="K1722">
        <v>20150630</v>
      </c>
      <c r="L1722" t="str">
        <f t="shared" si="529"/>
        <v>015063</v>
      </c>
      <c r="M1722" t="str">
        <f t="shared" si="530"/>
        <v>00015</v>
      </c>
      <c r="N1722" t="s">
        <v>44</v>
      </c>
      <c r="O1722">
        <v>52.31</v>
      </c>
      <c r="Q1722" t="s">
        <v>33</v>
      </c>
      <c r="R1722" t="s">
        <v>34</v>
      </c>
      <c r="S1722" t="s">
        <v>35</v>
      </c>
      <c r="T1722" t="s">
        <v>35</v>
      </c>
      <c r="U1722" t="s">
        <v>34</v>
      </c>
      <c r="V1722" t="str">
        <f>""</f>
        <v/>
      </c>
      <c r="W1722">
        <v>20150623</v>
      </c>
      <c r="X1722" t="s">
        <v>216</v>
      </c>
      <c r="Y1722" t="s">
        <v>922</v>
      </c>
      <c r="Z1722" t="s">
        <v>922</v>
      </c>
      <c r="AA1722">
        <v>0</v>
      </c>
      <c r="AB1722" t="s">
        <v>142</v>
      </c>
      <c r="AC1722" t="s">
        <v>143</v>
      </c>
      <c r="AD1722" t="s">
        <v>40</v>
      </c>
      <c r="AE1722" t="str">
        <f t="shared" si="536"/>
        <v>06</v>
      </c>
      <c r="AF1722" t="s">
        <v>40</v>
      </c>
    </row>
    <row r="1723" spans="1:32" x14ac:dyDescent="0.25">
      <c r="A1723">
        <v>5</v>
      </c>
      <c r="B1723">
        <v>420</v>
      </c>
      <c r="C1723" t="str">
        <f t="shared" si="532"/>
        <v>51</v>
      </c>
      <c r="D1723">
        <v>6259</v>
      </c>
      <c r="E1723" t="str">
        <f t="shared" si="533"/>
        <v>54</v>
      </c>
      <c r="F1723" t="str">
        <f t="shared" si="534"/>
        <v>999</v>
      </c>
      <c r="G1723">
        <v>5</v>
      </c>
      <c r="H1723" t="str">
        <f t="shared" si="535"/>
        <v>99</v>
      </c>
      <c r="I1723" t="str">
        <f t="shared" si="515"/>
        <v>0</v>
      </c>
      <c r="J1723" t="str">
        <f t="shared" si="531"/>
        <v>00</v>
      </c>
      <c r="K1723">
        <v>20150630</v>
      </c>
      <c r="L1723" t="str">
        <f t="shared" si="529"/>
        <v>015063</v>
      </c>
      <c r="M1723" t="str">
        <f t="shared" si="530"/>
        <v>00015</v>
      </c>
      <c r="N1723" t="s">
        <v>44</v>
      </c>
      <c r="O1723">
        <v>30.56</v>
      </c>
      <c r="Q1723" t="s">
        <v>33</v>
      </c>
      <c r="R1723" t="s">
        <v>34</v>
      </c>
      <c r="S1723" t="s">
        <v>35</v>
      </c>
      <c r="T1723" t="s">
        <v>35</v>
      </c>
      <c r="U1723" t="s">
        <v>34</v>
      </c>
      <c r="V1723" t="str">
        <f>""</f>
        <v/>
      </c>
      <c r="W1723">
        <v>20150623</v>
      </c>
      <c r="X1723" t="s">
        <v>216</v>
      </c>
      <c r="Y1723" t="s">
        <v>922</v>
      </c>
      <c r="Z1723" t="s">
        <v>922</v>
      </c>
      <c r="AA1723">
        <v>0</v>
      </c>
      <c r="AB1723" t="s">
        <v>142</v>
      </c>
      <c r="AC1723" t="s">
        <v>143</v>
      </c>
      <c r="AD1723" t="s">
        <v>40</v>
      </c>
      <c r="AE1723" t="str">
        <f t="shared" si="536"/>
        <v>06</v>
      </c>
      <c r="AF1723" t="s">
        <v>40</v>
      </c>
    </row>
    <row r="1724" spans="1:32" x14ac:dyDescent="0.25">
      <c r="A1724">
        <v>5</v>
      </c>
      <c r="B1724">
        <v>420</v>
      </c>
      <c r="C1724" t="str">
        <f t="shared" si="532"/>
        <v>51</v>
      </c>
      <c r="D1724">
        <v>6259</v>
      </c>
      <c r="E1724" t="str">
        <f t="shared" si="533"/>
        <v>54</v>
      </c>
      <c r="F1724" t="str">
        <f t="shared" si="534"/>
        <v>999</v>
      </c>
      <c r="G1724">
        <v>5</v>
      </c>
      <c r="H1724" t="str">
        <f t="shared" si="535"/>
        <v>99</v>
      </c>
      <c r="I1724" t="str">
        <f t="shared" si="515"/>
        <v>0</v>
      </c>
      <c r="J1724" t="str">
        <f t="shared" si="531"/>
        <v>00</v>
      </c>
      <c r="K1724">
        <v>20150630</v>
      </c>
      <c r="L1724" t="str">
        <f t="shared" si="529"/>
        <v>015063</v>
      </c>
      <c r="M1724" t="str">
        <f t="shared" si="530"/>
        <v>00015</v>
      </c>
      <c r="N1724" t="s">
        <v>44</v>
      </c>
      <c r="O1724">
        <v>15.06</v>
      </c>
      <c r="Q1724" t="s">
        <v>33</v>
      </c>
      <c r="R1724" t="s">
        <v>34</v>
      </c>
      <c r="S1724" t="s">
        <v>35</v>
      </c>
      <c r="T1724" t="s">
        <v>35</v>
      </c>
      <c r="U1724" t="s">
        <v>34</v>
      </c>
      <c r="V1724" t="str">
        <f>""</f>
        <v/>
      </c>
      <c r="W1724">
        <v>20150623</v>
      </c>
      <c r="X1724" t="s">
        <v>216</v>
      </c>
      <c r="Y1724" t="s">
        <v>922</v>
      </c>
      <c r="Z1724" t="s">
        <v>922</v>
      </c>
      <c r="AA1724">
        <v>0</v>
      </c>
      <c r="AB1724" t="s">
        <v>142</v>
      </c>
      <c r="AC1724" t="s">
        <v>143</v>
      </c>
      <c r="AD1724" t="s">
        <v>40</v>
      </c>
      <c r="AE1724" t="str">
        <f t="shared" si="536"/>
        <v>06</v>
      </c>
      <c r="AF1724" t="s">
        <v>40</v>
      </c>
    </row>
    <row r="1725" spans="1:32" x14ac:dyDescent="0.25">
      <c r="A1725">
        <v>5</v>
      </c>
      <c r="B1725">
        <v>420</v>
      </c>
      <c r="C1725" t="str">
        <f t="shared" si="532"/>
        <v>51</v>
      </c>
      <c r="D1725">
        <v>6259</v>
      </c>
      <c r="E1725" t="str">
        <f t="shared" si="533"/>
        <v>54</v>
      </c>
      <c r="F1725" t="str">
        <f t="shared" si="534"/>
        <v>999</v>
      </c>
      <c r="G1725">
        <v>5</v>
      </c>
      <c r="H1725" t="str">
        <f t="shared" si="535"/>
        <v>99</v>
      </c>
      <c r="I1725" t="str">
        <f t="shared" si="515"/>
        <v>0</v>
      </c>
      <c r="J1725" t="str">
        <f t="shared" si="531"/>
        <v>00</v>
      </c>
      <c r="K1725">
        <v>20150630</v>
      </c>
      <c r="L1725" t="str">
        <f t="shared" si="529"/>
        <v>015063</v>
      </c>
      <c r="M1725" t="str">
        <f t="shared" si="530"/>
        <v>00015</v>
      </c>
      <c r="N1725" t="s">
        <v>44</v>
      </c>
      <c r="O1725">
        <v>30.56</v>
      </c>
      <c r="Q1725" t="s">
        <v>33</v>
      </c>
      <c r="R1725" t="s">
        <v>34</v>
      </c>
      <c r="S1725" t="s">
        <v>35</v>
      </c>
      <c r="T1725" t="s">
        <v>35</v>
      </c>
      <c r="U1725" t="s">
        <v>34</v>
      </c>
      <c r="V1725" t="str">
        <f>""</f>
        <v/>
      </c>
      <c r="W1725">
        <v>20150623</v>
      </c>
      <c r="X1725" t="s">
        <v>216</v>
      </c>
      <c r="Y1725" t="s">
        <v>922</v>
      </c>
      <c r="Z1725" t="s">
        <v>922</v>
      </c>
      <c r="AA1725">
        <v>0</v>
      </c>
      <c r="AB1725" t="s">
        <v>142</v>
      </c>
      <c r="AC1725" t="s">
        <v>143</v>
      </c>
      <c r="AD1725" t="s">
        <v>40</v>
      </c>
      <c r="AE1725" t="str">
        <f t="shared" si="536"/>
        <v>06</v>
      </c>
      <c r="AF1725" t="s">
        <v>40</v>
      </c>
    </row>
    <row r="1726" spans="1:32" x14ac:dyDescent="0.25">
      <c r="A1726">
        <v>5</v>
      </c>
      <c r="B1726">
        <v>420</v>
      </c>
      <c r="C1726" t="str">
        <f t="shared" si="532"/>
        <v>51</v>
      </c>
      <c r="D1726">
        <v>6259</v>
      </c>
      <c r="E1726" t="str">
        <f t="shared" si="533"/>
        <v>54</v>
      </c>
      <c r="F1726" t="str">
        <f t="shared" si="534"/>
        <v>999</v>
      </c>
      <c r="G1726">
        <v>5</v>
      </c>
      <c r="H1726" t="str">
        <f t="shared" si="535"/>
        <v>99</v>
      </c>
      <c r="I1726" t="str">
        <f t="shared" si="515"/>
        <v>0</v>
      </c>
      <c r="J1726" t="str">
        <f t="shared" si="531"/>
        <v>00</v>
      </c>
      <c r="K1726">
        <v>20150630</v>
      </c>
      <c r="L1726" t="str">
        <f t="shared" si="529"/>
        <v>015063</v>
      </c>
      <c r="M1726" t="str">
        <f t="shared" si="530"/>
        <v>00015</v>
      </c>
      <c r="N1726" t="s">
        <v>44</v>
      </c>
      <c r="O1726">
        <v>25.12</v>
      </c>
      <c r="Q1726" t="s">
        <v>33</v>
      </c>
      <c r="R1726" t="s">
        <v>34</v>
      </c>
      <c r="S1726" t="s">
        <v>35</v>
      </c>
      <c r="T1726" t="s">
        <v>35</v>
      </c>
      <c r="U1726" t="s">
        <v>34</v>
      </c>
      <c r="V1726" t="str">
        <f>""</f>
        <v/>
      </c>
      <c r="W1726">
        <v>20150623</v>
      </c>
      <c r="X1726" t="s">
        <v>216</v>
      </c>
      <c r="Y1726" t="s">
        <v>922</v>
      </c>
      <c r="Z1726" t="s">
        <v>922</v>
      </c>
      <c r="AA1726">
        <v>0</v>
      </c>
      <c r="AB1726" t="s">
        <v>142</v>
      </c>
      <c r="AC1726" t="s">
        <v>143</v>
      </c>
      <c r="AD1726" t="s">
        <v>40</v>
      </c>
      <c r="AE1726" t="str">
        <f t="shared" si="536"/>
        <v>06</v>
      </c>
      <c r="AF1726" t="s">
        <v>40</v>
      </c>
    </row>
    <row r="1727" spans="1:32" x14ac:dyDescent="0.25">
      <c r="A1727">
        <v>5</v>
      </c>
      <c r="B1727">
        <v>420</v>
      </c>
      <c r="C1727" t="str">
        <f t="shared" si="532"/>
        <v>51</v>
      </c>
      <c r="D1727">
        <v>6259</v>
      </c>
      <c r="E1727" t="str">
        <f t="shared" si="533"/>
        <v>54</v>
      </c>
      <c r="F1727" t="str">
        <f t="shared" si="534"/>
        <v>999</v>
      </c>
      <c r="G1727">
        <v>5</v>
      </c>
      <c r="H1727" t="str">
        <f t="shared" si="535"/>
        <v>99</v>
      </c>
      <c r="I1727" t="str">
        <f t="shared" si="515"/>
        <v>0</v>
      </c>
      <c r="J1727" t="str">
        <f t="shared" si="531"/>
        <v>00</v>
      </c>
      <c r="K1727">
        <v>20150630</v>
      </c>
      <c r="L1727" t="str">
        <f t="shared" si="529"/>
        <v>015063</v>
      </c>
      <c r="M1727" t="str">
        <f t="shared" si="530"/>
        <v>00015</v>
      </c>
      <c r="N1727" t="s">
        <v>44</v>
      </c>
      <c r="O1727">
        <v>25.12</v>
      </c>
      <c r="Q1727" t="s">
        <v>33</v>
      </c>
      <c r="R1727" t="s">
        <v>34</v>
      </c>
      <c r="S1727" t="s">
        <v>35</v>
      </c>
      <c r="T1727" t="s">
        <v>35</v>
      </c>
      <c r="U1727" t="s">
        <v>34</v>
      </c>
      <c r="V1727" t="str">
        <f>""</f>
        <v/>
      </c>
      <c r="W1727">
        <v>20150623</v>
      </c>
      <c r="X1727" t="s">
        <v>216</v>
      </c>
      <c r="Y1727" t="s">
        <v>922</v>
      </c>
      <c r="Z1727" t="s">
        <v>922</v>
      </c>
      <c r="AA1727">
        <v>0</v>
      </c>
      <c r="AB1727" t="s">
        <v>142</v>
      </c>
      <c r="AC1727" t="s">
        <v>143</v>
      </c>
      <c r="AD1727" t="s">
        <v>40</v>
      </c>
      <c r="AE1727" t="str">
        <f t="shared" si="536"/>
        <v>06</v>
      </c>
      <c r="AF1727" t="s">
        <v>40</v>
      </c>
    </row>
    <row r="1728" spans="1:32" x14ac:dyDescent="0.25">
      <c r="A1728">
        <v>5</v>
      </c>
      <c r="B1728">
        <v>420</v>
      </c>
      <c r="C1728" t="str">
        <f t="shared" si="532"/>
        <v>51</v>
      </c>
      <c r="D1728">
        <v>6259</v>
      </c>
      <c r="E1728" t="str">
        <f t="shared" si="533"/>
        <v>54</v>
      </c>
      <c r="F1728" t="str">
        <f t="shared" si="534"/>
        <v>999</v>
      </c>
      <c r="G1728">
        <v>5</v>
      </c>
      <c r="H1728" t="str">
        <f t="shared" si="535"/>
        <v>99</v>
      </c>
      <c r="I1728" t="str">
        <f t="shared" si="515"/>
        <v>0</v>
      </c>
      <c r="J1728" t="str">
        <f t="shared" si="531"/>
        <v>00</v>
      </c>
      <c r="K1728">
        <v>20150630</v>
      </c>
      <c r="L1728" t="str">
        <f t="shared" si="529"/>
        <v>015063</v>
      </c>
      <c r="M1728" t="str">
        <f t="shared" si="530"/>
        <v>00015</v>
      </c>
      <c r="N1728" t="s">
        <v>44</v>
      </c>
      <c r="O1728">
        <v>30.56</v>
      </c>
      <c r="Q1728" t="s">
        <v>33</v>
      </c>
      <c r="R1728" t="s">
        <v>34</v>
      </c>
      <c r="S1728" t="s">
        <v>35</v>
      </c>
      <c r="T1728" t="s">
        <v>35</v>
      </c>
      <c r="U1728" t="s">
        <v>34</v>
      </c>
      <c r="V1728" t="str">
        <f>""</f>
        <v/>
      </c>
      <c r="W1728">
        <v>20150623</v>
      </c>
      <c r="X1728" t="s">
        <v>216</v>
      </c>
      <c r="Y1728" t="s">
        <v>922</v>
      </c>
      <c r="Z1728" t="s">
        <v>922</v>
      </c>
      <c r="AA1728">
        <v>0</v>
      </c>
      <c r="AB1728" t="s">
        <v>142</v>
      </c>
      <c r="AC1728" t="s">
        <v>143</v>
      </c>
      <c r="AD1728" t="s">
        <v>40</v>
      </c>
      <c r="AE1728" t="str">
        <f t="shared" si="536"/>
        <v>06</v>
      </c>
      <c r="AF1728" t="s">
        <v>40</v>
      </c>
    </row>
    <row r="1729" spans="1:32" x14ac:dyDescent="0.25">
      <c r="A1729">
        <v>5</v>
      </c>
      <c r="B1729">
        <v>420</v>
      </c>
      <c r="C1729" t="str">
        <f t="shared" si="532"/>
        <v>51</v>
      </c>
      <c r="D1729">
        <v>6259</v>
      </c>
      <c r="E1729" t="str">
        <f t="shared" si="533"/>
        <v>54</v>
      </c>
      <c r="F1729" t="str">
        <f t="shared" si="534"/>
        <v>999</v>
      </c>
      <c r="G1729">
        <v>5</v>
      </c>
      <c r="H1729" t="str">
        <f t="shared" si="535"/>
        <v>99</v>
      </c>
      <c r="I1729" t="str">
        <f t="shared" si="515"/>
        <v>0</v>
      </c>
      <c r="J1729" t="str">
        <f t="shared" si="531"/>
        <v>00</v>
      </c>
      <c r="K1729">
        <v>20150630</v>
      </c>
      <c r="L1729" t="str">
        <f t="shared" si="529"/>
        <v>015063</v>
      </c>
      <c r="M1729" t="str">
        <f t="shared" si="530"/>
        <v>00015</v>
      </c>
      <c r="N1729" t="s">
        <v>44</v>
      </c>
      <c r="O1729">
        <v>30.56</v>
      </c>
      <c r="Q1729" t="s">
        <v>33</v>
      </c>
      <c r="R1729" t="s">
        <v>34</v>
      </c>
      <c r="S1729" t="s">
        <v>35</v>
      </c>
      <c r="T1729" t="s">
        <v>35</v>
      </c>
      <c r="U1729" t="s">
        <v>34</v>
      </c>
      <c r="V1729" t="str">
        <f>""</f>
        <v/>
      </c>
      <c r="W1729">
        <v>20150623</v>
      </c>
      <c r="X1729" t="s">
        <v>216</v>
      </c>
      <c r="Y1729" t="s">
        <v>922</v>
      </c>
      <c r="Z1729" t="s">
        <v>922</v>
      </c>
      <c r="AA1729">
        <v>0</v>
      </c>
      <c r="AB1729" t="s">
        <v>142</v>
      </c>
      <c r="AC1729" t="s">
        <v>143</v>
      </c>
      <c r="AD1729" t="s">
        <v>40</v>
      </c>
      <c r="AE1729" t="str">
        <f t="shared" si="536"/>
        <v>06</v>
      </c>
      <c r="AF1729" t="s">
        <v>40</v>
      </c>
    </row>
    <row r="1730" spans="1:32" x14ac:dyDescent="0.25">
      <c r="A1730">
        <v>5</v>
      </c>
      <c r="B1730">
        <v>420</v>
      </c>
      <c r="C1730" t="str">
        <f t="shared" si="532"/>
        <v>51</v>
      </c>
      <c r="D1730">
        <v>6259</v>
      </c>
      <c r="E1730" t="str">
        <f t="shared" si="533"/>
        <v>54</v>
      </c>
      <c r="F1730" t="str">
        <f t="shared" si="534"/>
        <v>999</v>
      </c>
      <c r="G1730">
        <v>5</v>
      </c>
      <c r="H1730" t="str">
        <f t="shared" si="535"/>
        <v>99</v>
      </c>
      <c r="I1730" t="str">
        <f t="shared" ref="I1730:I1793" si="537">"0"</f>
        <v>0</v>
      </c>
      <c r="J1730" t="str">
        <f t="shared" si="531"/>
        <v>00</v>
      </c>
      <c r="K1730">
        <v>20150630</v>
      </c>
      <c r="L1730" t="str">
        <f t="shared" si="529"/>
        <v>015063</v>
      </c>
      <c r="M1730" t="str">
        <f t="shared" si="530"/>
        <v>00015</v>
      </c>
      <c r="N1730" t="s">
        <v>44</v>
      </c>
      <c r="O1730">
        <v>15.06</v>
      </c>
      <c r="Q1730" t="s">
        <v>33</v>
      </c>
      <c r="R1730" t="s">
        <v>34</v>
      </c>
      <c r="S1730" t="s">
        <v>35</v>
      </c>
      <c r="T1730" t="s">
        <v>35</v>
      </c>
      <c r="U1730" t="s">
        <v>34</v>
      </c>
      <c r="V1730" t="str">
        <f>""</f>
        <v/>
      </c>
      <c r="W1730">
        <v>20150623</v>
      </c>
      <c r="X1730" t="s">
        <v>216</v>
      </c>
      <c r="Y1730" t="s">
        <v>922</v>
      </c>
      <c r="Z1730" t="s">
        <v>922</v>
      </c>
      <c r="AA1730">
        <v>0</v>
      </c>
      <c r="AB1730" t="s">
        <v>142</v>
      </c>
      <c r="AC1730" t="s">
        <v>143</v>
      </c>
      <c r="AD1730" t="s">
        <v>40</v>
      </c>
      <c r="AE1730" t="str">
        <f t="shared" si="536"/>
        <v>06</v>
      </c>
      <c r="AF1730" t="s">
        <v>40</v>
      </c>
    </row>
    <row r="1731" spans="1:32" x14ac:dyDescent="0.25">
      <c r="A1731">
        <v>5</v>
      </c>
      <c r="B1731">
        <v>420</v>
      </c>
      <c r="C1731" t="str">
        <f t="shared" si="532"/>
        <v>51</v>
      </c>
      <c r="D1731">
        <v>6259</v>
      </c>
      <c r="E1731" t="str">
        <f t="shared" si="533"/>
        <v>54</v>
      </c>
      <c r="F1731" t="str">
        <f t="shared" si="534"/>
        <v>999</v>
      </c>
      <c r="G1731">
        <v>5</v>
      </c>
      <c r="H1731" t="str">
        <f t="shared" si="535"/>
        <v>99</v>
      </c>
      <c r="I1731" t="str">
        <f t="shared" si="537"/>
        <v>0</v>
      </c>
      <c r="J1731" t="str">
        <f t="shared" si="531"/>
        <v>00</v>
      </c>
      <c r="K1731">
        <v>20150630</v>
      </c>
      <c r="L1731" t="str">
        <f t="shared" si="529"/>
        <v>015063</v>
      </c>
      <c r="M1731" t="str">
        <f t="shared" si="530"/>
        <v>00015</v>
      </c>
      <c r="N1731" t="s">
        <v>44</v>
      </c>
      <c r="O1731">
        <v>30.56</v>
      </c>
      <c r="Q1731" t="s">
        <v>33</v>
      </c>
      <c r="R1731" t="s">
        <v>34</v>
      </c>
      <c r="S1731" t="s">
        <v>35</v>
      </c>
      <c r="T1731" t="s">
        <v>35</v>
      </c>
      <c r="U1731" t="s">
        <v>34</v>
      </c>
      <c r="V1731" t="str">
        <f>""</f>
        <v/>
      </c>
      <c r="W1731">
        <v>20150623</v>
      </c>
      <c r="X1731" t="s">
        <v>216</v>
      </c>
      <c r="Y1731" t="s">
        <v>922</v>
      </c>
      <c r="Z1731" t="s">
        <v>922</v>
      </c>
      <c r="AA1731">
        <v>0</v>
      </c>
      <c r="AB1731" t="s">
        <v>142</v>
      </c>
      <c r="AC1731" t="s">
        <v>143</v>
      </c>
      <c r="AD1731" t="s">
        <v>40</v>
      </c>
      <c r="AE1731" t="str">
        <f t="shared" si="536"/>
        <v>06</v>
      </c>
      <c r="AF1731" t="s">
        <v>40</v>
      </c>
    </row>
    <row r="1732" spans="1:32" x14ac:dyDescent="0.25">
      <c r="A1732">
        <v>5</v>
      </c>
      <c r="B1732">
        <v>420</v>
      </c>
      <c r="C1732" t="str">
        <f t="shared" si="532"/>
        <v>51</v>
      </c>
      <c r="D1732">
        <v>6259</v>
      </c>
      <c r="E1732" t="str">
        <f t="shared" si="533"/>
        <v>54</v>
      </c>
      <c r="F1732" t="str">
        <f t="shared" si="534"/>
        <v>999</v>
      </c>
      <c r="G1732">
        <v>5</v>
      </c>
      <c r="H1732" t="str">
        <f t="shared" si="535"/>
        <v>99</v>
      </c>
      <c r="I1732" t="str">
        <f t="shared" si="537"/>
        <v>0</v>
      </c>
      <c r="J1732" t="str">
        <f t="shared" si="531"/>
        <v>00</v>
      </c>
      <c r="K1732">
        <v>20150630</v>
      </c>
      <c r="L1732" t="str">
        <f t="shared" si="529"/>
        <v>015063</v>
      </c>
      <c r="M1732" t="str">
        <f t="shared" si="530"/>
        <v>00015</v>
      </c>
      <c r="N1732" t="s">
        <v>44</v>
      </c>
      <c r="O1732">
        <v>30.56</v>
      </c>
      <c r="Q1732" t="s">
        <v>33</v>
      </c>
      <c r="R1732" t="s">
        <v>34</v>
      </c>
      <c r="S1732" t="s">
        <v>35</v>
      </c>
      <c r="T1732" t="s">
        <v>35</v>
      </c>
      <c r="U1732" t="s">
        <v>34</v>
      </c>
      <c r="V1732" t="str">
        <f>""</f>
        <v/>
      </c>
      <c r="W1732">
        <v>20150623</v>
      </c>
      <c r="X1732" t="s">
        <v>216</v>
      </c>
      <c r="Y1732" t="s">
        <v>922</v>
      </c>
      <c r="Z1732" t="s">
        <v>922</v>
      </c>
      <c r="AA1732">
        <v>0</v>
      </c>
      <c r="AB1732" t="s">
        <v>142</v>
      </c>
      <c r="AC1732" t="s">
        <v>143</v>
      </c>
      <c r="AD1732" t="s">
        <v>40</v>
      </c>
      <c r="AE1732" t="str">
        <f t="shared" si="536"/>
        <v>06</v>
      </c>
      <c r="AF1732" t="s">
        <v>40</v>
      </c>
    </row>
    <row r="1733" spans="1:32" x14ac:dyDescent="0.25">
      <c r="A1733">
        <v>5</v>
      </c>
      <c r="B1733">
        <v>420</v>
      </c>
      <c r="C1733" t="str">
        <f t="shared" si="532"/>
        <v>51</v>
      </c>
      <c r="D1733">
        <v>6259</v>
      </c>
      <c r="E1733" t="str">
        <f t="shared" si="533"/>
        <v>54</v>
      </c>
      <c r="F1733" t="str">
        <f t="shared" si="534"/>
        <v>999</v>
      </c>
      <c r="G1733">
        <v>5</v>
      </c>
      <c r="H1733" t="str">
        <f t="shared" si="535"/>
        <v>99</v>
      </c>
      <c r="I1733" t="str">
        <f t="shared" si="537"/>
        <v>0</v>
      </c>
      <c r="J1733" t="str">
        <f t="shared" si="531"/>
        <v>00</v>
      </c>
      <c r="K1733">
        <v>20150630</v>
      </c>
      <c r="L1733" t="str">
        <f t="shared" si="529"/>
        <v>015063</v>
      </c>
      <c r="M1733" t="str">
        <f t="shared" si="530"/>
        <v>00015</v>
      </c>
      <c r="N1733" t="s">
        <v>44</v>
      </c>
      <c r="O1733">
        <v>15.06</v>
      </c>
      <c r="Q1733" t="s">
        <v>33</v>
      </c>
      <c r="R1733" t="s">
        <v>34</v>
      </c>
      <c r="S1733" t="s">
        <v>35</v>
      </c>
      <c r="T1733" t="s">
        <v>35</v>
      </c>
      <c r="U1733" t="s">
        <v>34</v>
      </c>
      <c r="V1733" t="str">
        <f>""</f>
        <v/>
      </c>
      <c r="W1733">
        <v>20150623</v>
      </c>
      <c r="X1733" t="s">
        <v>216</v>
      </c>
      <c r="Y1733" t="s">
        <v>922</v>
      </c>
      <c r="Z1733" t="s">
        <v>922</v>
      </c>
      <c r="AA1733">
        <v>0</v>
      </c>
      <c r="AB1733" t="s">
        <v>142</v>
      </c>
      <c r="AC1733" t="s">
        <v>143</v>
      </c>
      <c r="AD1733" t="s">
        <v>40</v>
      </c>
      <c r="AE1733" t="str">
        <f t="shared" si="536"/>
        <v>06</v>
      </c>
      <c r="AF1733" t="s">
        <v>40</v>
      </c>
    </row>
    <row r="1734" spans="1:32" x14ac:dyDescent="0.25">
      <c r="A1734">
        <v>5</v>
      </c>
      <c r="B1734">
        <v>420</v>
      </c>
      <c r="C1734" t="str">
        <f t="shared" si="532"/>
        <v>51</v>
      </c>
      <c r="D1734">
        <v>6259</v>
      </c>
      <c r="E1734" t="str">
        <f t="shared" si="533"/>
        <v>54</v>
      </c>
      <c r="F1734" t="str">
        <f t="shared" si="534"/>
        <v>999</v>
      </c>
      <c r="G1734">
        <v>5</v>
      </c>
      <c r="H1734" t="str">
        <f t="shared" si="535"/>
        <v>99</v>
      </c>
      <c r="I1734" t="str">
        <f t="shared" si="537"/>
        <v>0</v>
      </c>
      <c r="J1734" t="str">
        <f t="shared" si="531"/>
        <v>00</v>
      </c>
      <c r="K1734">
        <v>20150630</v>
      </c>
      <c r="L1734" t="str">
        <f t="shared" si="529"/>
        <v>015063</v>
      </c>
      <c r="M1734" t="str">
        <f t="shared" si="530"/>
        <v>00015</v>
      </c>
      <c r="N1734" t="s">
        <v>44</v>
      </c>
      <c r="O1734">
        <v>15.06</v>
      </c>
      <c r="Q1734" t="s">
        <v>33</v>
      </c>
      <c r="R1734" t="s">
        <v>34</v>
      </c>
      <c r="S1734" t="s">
        <v>35</v>
      </c>
      <c r="T1734" t="s">
        <v>35</v>
      </c>
      <c r="U1734" t="s">
        <v>34</v>
      </c>
      <c r="V1734" t="str">
        <f>""</f>
        <v/>
      </c>
      <c r="W1734">
        <v>20150623</v>
      </c>
      <c r="X1734" t="s">
        <v>216</v>
      </c>
      <c r="Y1734" t="s">
        <v>922</v>
      </c>
      <c r="Z1734" t="s">
        <v>922</v>
      </c>
      <c r="AA1734">
        <v>0</v>
      </c>
      <c r="AB1734" t="s">
        <v>142</v>
      </c>
      <c r="AC1734" t="s">
        <v>143</v>
      </c>
      <c r="AD1734" t="s">
        <v>40</v>
      </c>
      <c r="AE1734" t="str">
        <f t="shared" si="536"/>
        <v>06</v>
      </c>
      <c r="AF1734" t="s">
        <v>40</v>
      </c>
    </row>
    <row r="1735" spans="1:32" x14ac:dyDescent="0.25">
      <c r="A1735">
        <v>5</v>
      </c>
      <c r="B1735">
        <v>420</v>
      </c>
      <c r="C1735" t="str">
        <f t="shared" si="532"/>
        <v>51</v>
      </c>
      <c r="D1735">
        <v>6259</v>
      </c>
      <c r="E1735" t="str">
        <f t="shared" si="533"/>
        <v>54</v>
      </c>
      <c r="F1735" t="str">
        <f t="shared" si="534"/>
        <v>999</v>
      </c>
      <c r="G1735">
        <v>5</v>
      </c>
      <c r="H1735" t="str">
        <f t="shared" si="535"/>
        <v>99</v>
      </c>
      <c r="I1735" t="str">
        <f t="shared" si="537"/>
        <v>0</v>
      </c>
      <c r="J1735" t="str">
        <f t="shared" si="531"/>
        <v>00</v>
      </c>
      <c r="K1735">
        <v>20150630</v>
      </c>
      <c r="L1735" t="str">
        <f t="shared" si="529"/>
        <v>015063</v>
      </c>
      <c r="M1735" t="str">
        <f t="shared" si="530"/>
        <v>00015</v>
      </c>
      <c r="N1735" t="s">
        <v>44</v>
      </c>
      <c r="O1735">
        <v>30.56</v>
      </c>
      <c r="Q1735" t="s">
        <v>33</v>
      </c>
      <c r="R1735" t="s">
        <v>34</v>
      </c>
      <c r="S1735" t="s">
        <v>35</v>
      </c>
      <c r="T1735" t="s">
        <v>35</v>
      </c>
      <c r="U1735" t="s">
        <v>34</v>
      </c>
      <c r="V1735" t="str">
        <f>""</f>
        <v/>
      </c>
      <c r="W1735">
        <v>20150623</v>
      </c>
      <c r="X1735" t="s">
        <v>216</v>
      </c>
      <c r="Y1735" t="s">
        <v>922</v>
      </c>
      <c r="Z1735" t="s">
        <v>922</v>
      </c>
      <c r="AA1735">
        <v>0</v>
      </c>
      <c r="AB1735" t="s">
        <v>142</v>
      </c>
      <c r="AC1735" t="s">
        <v>143</v>
      </c>
      <c r="AD1735" t="s">
        <v>40</v>
      </c>
      <c r="AE1735" t="str">
        <f t="shared" si="536"/>
        <v>06</v>
      </c>
      <c r="AF1735" t="s">
        <v>40</v>
      </c>
    </row>
    <row r="1736" spans="1:32" x14ac:dyDescent="0.25">
      <c r="A1736">
        <v>5</v>
      </c>
      <c r="B1736">
        <v>420</v>
      </c>
      <c r="C1736" t="str">
        <f t="shared" si="532"/>
        <v>51</v>
      </c>
      <c r="D1736">
        <v>6259</v>
      </c>
      <c r="E1736" t="str">
        <f t="shared" si="533"/>
        <v>54</v>
      </c>
      <c r="F1736" t="str">
        <f t="shared" si="534"/>
        <v>999</v>
      </c>
      <c r="G1736">
        <v>5</v>
      </c>
      <c r="H1736" t="str">
        <f t="shared" si="535"/>
        <v>99</v>
      </c>
      <c r="I1736" t="str">
        <f t="shared" si="537"/>
        <v>0</v>
      </c>
      <c r="J1736" t="str">
        <f t="shared" si="531"/>
        <v>00</v>
      </c>
      <c r="K1736">
        <v>20150630</v>
      </c>
      <c r="L1736" t="str">
        <f t="shared" si="529"/>
        <v>015063</v>
      </c>
      <c r="M1736" t="str">
        <f t="shared" si="530"/>
        <v>00015</v>
      </c>
      <c r="N1736" t="s">
        <v>44</v>
      </c>
      <c r="O1736">
        <v>25.12</v>
      </c>
      <c r="Q1736" t="s">
        <v>33</v>
      </c>
      <c r="R1736" t="s">
        <v>34</v>
      </c>
      <c r="S1736" t="s">
        <v>35</v>
      </c>
      <c r="T1736" t="s">
        <v>35</v>
      </c>
      <c r="U1736" t="s">
        <v>34</v>
      </c>
      <c r="V1736" t="str">
        <f>""</f>
        <v/>
      </c>
      <c r="W1736">
        <v>20150623</v>
      </c>
      <c r="X1736" t="s">
        <v>216</v>
      </c>
      <c r="Y1736" t="s">
        <v>922</v>
      </c>
      <c r="Z1736" t="s">
        <v>922</v>
      </c>
      <c r="AA1736">
        <v>0</v>
      </c>
      <c r="AB1736" t="s">
        <v>142</v>
      </c>
      <c r="AC1736" t="s">
        <v>143</v>
      </c>
      <c r="AD1736" t="s">
        <v>40</v>
      </c>
      <c r="AE1736" t="str">
        <f t="shared" si="536"/>
        <v>06</v>
      </c>
      <c r="AF1736" t="s">
        <v>40</v>
      </c>
    </row>
    <row r="1737" spans="1:32" x14ac:dyDescent="0.25">
      <c r="A1737">
        <v>5</v>
      </c>
      <c r="B1737">
        <v>420</v>
      </c>
      <c r="C1737" t="str">
        <f t="shared" si="532"/>
        <v>51</v>
      </c>
      <c r="D1737">
        <v>6259</v>
      </c>
      <c r="E1737" t="str">
        <f t="shared" si="533"/>
        <v>54</v>
      </c>
      <c r="F1737" t="str">
        <f t="shared" si="534"/>
        <v>999</v>
      </c>
      <c r="G1737">
        <v>5</v>
      </c>
      <c r="H1737" t="str">
        <f t="shared" si="535"/>
        <v>99</v>
      </c>
      <c r="I1737" t="str">
        <f t="shared" si="537"/>
        <v>0</v>
      </c>
      <c r="J1737" t="str">
        <f t="shared" si="531"/>
        <v>00</v>
      </c>
      <c r="K1737">
        <v>20150630</v>
      </c>
      <c r="L1737" t="str">
        <f t="shared" si="529"/>
        <v>015063</v>
      </c>
      <c r="M1737" t="str">
        <f t="shared" si="530"/>
        <v>00015</v>
      </c>
      <c r="N1737" t="s">
        <v>44</v>
      </c>
      <c r="O1737">
        <v>15.06</v>
      </c>
      <c r="Q1737" t="s">
        <v>33</v>
      </c>
      <c r="R1737" t="s">
        <v>34</v>
      </c>
      <c r="S1737" t="s">
        <v>35</v>
      </c>
      <c r="T1737" t="s">
        <v>35</v>
      </c>
      <c r="U1737" t="s">
        <v>34</v>
      </c>
      <c r="V1737" t="str">
        <f>""</f>
        <v/>
      </c>
      <c r="W1737">
        <v>20150623</v>
      </c>
      <c r="X1737" t="s">
        <v>216</v>
      </c>
      <c r="Y1737" t="s">
        <v>922</v>
      </c>
      <c r="Z1737" t="s">
        <v>922</v>
      </c>
      <c r="AA1737">
        <v>0</v>
      </c>
      <c r="AB1737" t="s">
        <v>142</v>
      </c>
      <c r="AC1737" t="s">
        <v>143</v>
      </c>
      <c r="AD1737" t="s">
        <v>40</v>
      </c>
      <c r="AE1737" t="str">
        <f t="shared" si="536"/>
        <v>06</v>
      </c>
      <c r="AF1737" t="s">
        <v>40</v>
      </c>
    </row>
    <row r="1738" spans="1:32" x14ac:dyDescent="0.25">
      <c r="A1738">
        <v>5</v>
      </c>
      <c r="B1738">
        <v>420</v>
      </c>
      <c r="C1738" t="str">
        <f t="shared" si="532"/>
        <v>51</v>
      </c>
      <c r="D1738">
        <v>6259</v>
      </c>
      <c r="E1738" t="str">
        <f t="shared" si="533"/>
        <v>54</v>
      </c>
      <c r="F1738" t="str">
        <f t="shared" si="534"/>
        <v>999</v>
      </c>
      <c r="G1738">
        <v>5</v>
      </c>
      <c r="H1738" t="str">
        <f t="shared" si="535"/>
        <v>99</v>
      </c>
      <c r="I1738" t="str">
        <f t="shared" si="537"/>
        <v>0</v>
      </c>
      <c r="J1738" t="str">
        <f t="shared" si="531"/>
        <v>00</v>
      </c>
      <c r="K1738">
        <v>20150630</v>
      </c>
      <c r="L1738" t="str">
        <f t="shared" si="529"/>
        <v>015063</v>
      </c>
      <c r="M1738" t="str">
        <f t="shared" si="530"/>
        <v>00015</v>
      </c>
      <c r="N1738" t="s">
        <v>44</v>
      </c>
      <c r="O1738">
        <v>30.56</v>
      </c>
      <c r="Q1738" t="s">
        <v>33</v>
      </c>
      <c r="R1738" t="s">
        <v>34</v>
      </c>
      <c r="S1738" t="s">
        <v>35</v>
      </c>
      <c r="T1738" t="s">
        <v>35</v>
      </c>
      <c r="U1738" t="s">
        <v>34</v>
      </c>
      <c r="V1738" t="str">
        <f>""</f>
        <v/>
      </c>
      <c r="W1738">
        <v>20150623</v>
      </c>
      <c r="X1738" t="s">
        <v>216</v>
      </c>
      <c r="Y1738" t="s">
        <v>922</v>
      </c>
      <c r="Z1738" t="s">
        <v>922</v>
      </c>
      <c r="AA1738">
        <v>0</v>
      </c>
      <c r="AB1738" t="s">
        <v>142</v>
      </c>
      <c r="AC1738" t="s">
        <v>143</v>
      </c>
      <c r="AD1738" t="s">
        <v>40</v>
      </c>
      <c r="AE1738" t="str">
        <f t="shared" si="536"/>
        <v>06</v>
      </c>
      <c r="AF1738" t="s">
        <v>40</v>
      </c>
    </row>
    <row r="1739" spans="1:32" x14ac:dyDescent="0.25">
      <c r="A1739">
        <v>5</v>
      </c>
      <c r="B1739">
        <v>420</v>
      </c>
      <c r="C1739" t="str">
        <f t="shared" si="532"/>
        <v>51</v>
      </c>
      <c r="D1739">
        <v>6269</v>
      </c>
      <c r="E1739" t="str">
        <f>"00"</f>
        <v>00</v>
      </c>
      <c r="F1739" t="str">
        <f t="shared" si="534"/>
        <v>999</v>
      </c>
      <c r="G1739">
        <v>5</v>
      </c>
      <c r="H1739" t="str">
        <f t="shared" si="535"/>
        <v>99</v>
      </c>
      <c r="I1739" t="str">
        <f t="shared" si="537"/>
        <v>0</v>
      </c>
      <c r="J1739" t="str">
        <f t="shared" si="531"/>
        <v>00</v>
      </c>
      <c r="K1739">
        <v>20150630</v>
      </c>
      <c r="L1739" t="str">
        <f t="shared" si="529"/>
        <v>015063</v>
      </c>
      <c r="M1739" t="str">
        <f t="shared" si="530"/>
        <v>00015</v>
      </c>
      <c r="N1739" t="s">
        <v>44</v>
      </c>
      <c r="O1739">
        <v>390</v>
      </c>
      <c r="Q1739" t="s">
        <v>33</v>
      </c>
      <c r="R1739" t="s">
        <v>34</v>
      </c>
      <c r="S1739" t="s">
        <v>35</v>
      </c>
      <c r="T1739" t="s">
        <v>35</v>
      </c>
      <c r="U1739" t="s">
        <v>34</v>
      </c>
      <c r="V1739" t="str">
        <f>""</f>
        <v/>
      </c>
      <c r="W1739">
        <v>20150623</v>
      </c>
      <c r="X1739" t="s">
        <v>225</v>
      </c>
      <c r="Y1739" t="s">
        <v>923</v>
      </c>
      <c r="Z1739" t="s">
        <v>923</v>
      </c>
      <c r="AA1739">
        <v>0</v>
      </c>
      <c r="AB1739" t="s">
        <v>142</v>
      </c>
      <c r="AC1739" t="s">
        <v>143</v>
      </c>
      <c r="AD1739" t="s">
        <v>40</v>
      </c>
      <c r="AE1739" t="str">
        <f t="shared" si="536"/>
        <v>06</v>
      </c>
      <c r="AF1739" t="s">
        <v>40</v>
      </c>
    </row>
    <row r="1740" spans="1:32" x14ac:dyDescent="0.25">
      <c r="A1740">
        <v>5</v>
      </c>
      <c r="B1740">
        <v>420</v>
      </c>
      <c r="C1740" t="str">
        <f t="shared" si="532"/>
        <v>51</v>
      </c>
      <c r="D1740">
        <v>6269</v>
      </c>
      <c r="E1740" t="str">
        <f>"00"</f>
        <v>00</v>
      </c>
      <c r="F1740" t="str">
        <f t="shared" si="534"/>
        <v>999</v>
      </c>
      <c r="G1740">
        <v>5</v>
      </c>
      <c r="H1740" t="str">
        <f t="shared" si="535"/>
        <v>99</v>
      </c>
      <c r="I1740" t="str">
        <f t="shared" si="537"/>
        <v>0</v>
      </c>
      <c r="J1740" t="str">
        <f t="shared" si="531"/>
        <v>00</v>
      </c>
      <c r="K1740">
        <v>20150630</v>
      </c>
      <c r="L1740" t="str">
        <f t="shared" si="529"/>
        <v>015063</v>
      </c>
      <c r="M1740" t="str">
        <f t="shared" si="530"/>
        <v>00015</v>
      </c>
      <c r="N1740" t="s">
        <v>44</v>
      </c>
      <c r="O1740">
        <v>139</v>
      </c>
      <c r="Q1740" t="s">
        <v>33</v>
      </c>
      <c r="R1740" t="s">
        <v>34</v>
      </c>
      <c r="S1740" t="s">
        <v>35</v>
      </c>
      <c r="T1740" t="s">
        <v>35</v>
      </c>
      <c r="U1740" t="s">
        <v>34</v>
      </c>
      <c r="V1740" t="str">
        <f>""</f>
        <v/>
      </c>
      <c r="W1740">
        <v>20150623</v>
      </c>
      <c r="X1740" t="s">
        <v>225</v>
      </c>
      <c r="Y1740" t="s">
        <v>525</v>
      </c>
      <c r="Z1740" t="s">
        <v>525</v>
      </c>
      <c r="AA1740">
        <v>0</v>
      </c>
      <c r="AB1740" t="s">
        <v>142</v>
      </c>
      <c r="AC1740" t="s">
        <v>143</v>
      </c>
      <c r="AD1740" t="s">
        <v>40</v>
      </c>
      <c r="AE1740" t="str">
        <f t="shared" si="536"/>
        <v>06</v>
      </c>
      <c r="AF1740" t="s">
        <v>40</v>
      </c>
    </row>
    <row r="1741" spans="1:32" x14ac:dyDescent="0.25">
      <c r="A1741">
        <v>5</v>
      </c>
      <c r="B1741">
        <v>420</v>
      </c>
      <c r="C1741" t="str">
        <f t="shared" si="532"/>
        <v>51</v>
      </c>
      <c r="D1741">
        <v>6319</v>
      </c>
      <c r="E1741" t="str">
        <f>"00"</f>
        <v>00</v>
      </c>
      <c r="F1741" t="str">
        <f t="shared" si="534"/>
        <v>999</v>
      </c>
      <c r="G1741">
        <v>5</v>
      </c>
      <c r="H1741" t="str">
        <f t="shared" si="535"/>
        <v>99</v>
      </c>
      <c r="I1741" t="str">
        <f t="shared" si="537"/>
        <v>0</v>
      </c>
      <c r="J1741" t="str">
        <f t="shared" si="531"/>
        <v>00</v>
      </c>
      <c r="K1741">
        <v>20150630</v>
      </c>
      <c r="L1741" t="str">
        <f t="shared" si="529"/>
        <v>015063</v>
      </c>
      <c r="M1741" t="str">
        <f t="shared" si="530"/>
        <v>00015</v>
      </c>
      <c r="N1741" t="s">
        <v>44</v>
      </c>
      <c r="O1741" s="1">
        <v>1385.98</v>
      </c>
      <c r="Q1741" t="s">
        <v>33</v>
      </c>
      <c r="R1741" t="s">
        <v>34</v>
      </c>
      <c r="S1741" t="s">
        <v>35</v>
      </c>
      <c r="T1741" t="s">
        <v>35</v>
      </c>
      <c r="U1741" t="s">
        <v>34</v>
      </c>
      <c r="V1741" t="str">
        <f>""</f>
        <v/>
      </c>
      <c r="W1741">
        <v>20150623</v>
      </c>
      <c r="X1741" t="s">
        <v>185</v>
      </c>
      <c r="Y1741" t="s">
        <v>536</v>
      </c>
      <c r="Z1741" t="s">
        <v>536</v>
      </c>
      <c r="AA1741">
        <v>0</v>
      </c>
      <c r="AB1741" t="s">
        <v>142</v>
      </c>
      <c r="AC1741" t="s">
        <v>143</v>
      </c>
      <c r="AD1741" t="s">
        <v>40</v>
      </c>
      <c r="AE1741" t="str">
        <f t="shared" si="536"/>
        <v>06</v>
      </c>
      <c r="AF1741" t="s">
        <v>40</v>
      </c>
    </row>
    <row r="1742" spans="1:32" x14ac:dyDescent="0.25">
      <c r="A1742">
        <v>5</v>
      </c>
      <c r="B1742">
        <v>420</v>
      </c>
      <c r="C1742" t="str">
        <f t="shared" si="532"/>
        <v>51</v>
      </c>
      <c r="D1742">
        <v>6319</v>
      </c>
      <c r="E1742" t="str">
        <f>"00"</f>
        <v>00</v>
      </c>
      <c r="F1742" t="str">
        <f t="shared" si="534"/>
        <v>999</v>
      </c>
      <c r="G1742">
        <v>5</v>
      </c>
      <c r="H1742" t="str">
        <f t="shared" si="535"/>
        <v>99</v>
      </c>
      <c r="I1742" t="str">
        <f t="shared" si="537"/>
        <v>0</v>
      </c>
      <c r="J1742" t="str">
        <f t="shared" ref="J1742:J1777" si="538">"00"</f>
        <v>00</v>
      </c>
      <c r="K1742">
        <v>20150630</v>
      </c>
      <c r="L1742" t="str">
        <f>"015064"</f>
        <v>015064</v>
      </c>
      <c r="M1742" t="str">
        <f>"00044"</f>
        <v>00044</v>
      </c>
      <c r="N1742" t="s">
        <v>644</v>
      </c>
      <c r="O1742">
        <v>172.94</v>
      </c>
      <c r="Q1742" t="s">
        <v>33</v>
      </c>
      <c r="R1742" t="s">
        <v>34</v>
      </c>
      <c r="S1742" t="s">
        <v>35</v>
      </c>
      <c r="T1742" t="s">
        <v>35</v>
      </c>
      <c r="U1742" t="s">
        <v>34</v>
      </c>
      <c r="V1742" t="str">
        <f>""</f>
        <v/>
      </c>
      <c r="W1742">
        <v>20150624</v>
      </c>
      <c r="X1742" t="s">
        <v>185</v>
      </c>
      <c r="Y1742" t="s">
        <v>611</v>
      </c>
      <c r="Z1742" t="s">
        <v>611</v>
      </c>
      <c r="AA1742">
        <v>0</v>
      </c>
      <c r="AB1742" t="s">
        <v>142</v>
      </c>
      <c r="AC1742" t="s">
        <v>143</v>
      </c>
      <c r="AD1742" t="s">
        <v>40</v>
      </c>
      <c r="AE1742" t="str">
        <f t="shared" si="536"/>
        <v>06</v>
      </c>
      <c r="AF1742" t="s">
        <v>40</v>
      </c>
    </row>
    <row r="1743" spans="1:32" x14ac:dyDescent="0.25">
      <c r="A1743">
        <v>5</v>
      </c>
      <c r="B1743">
        <v>420</v>
      </c>
      <c r="C1743" t="str">
        <f t="shared" si="532"/>
        <v>51</v>
      </c>
      <c r="D1743">
        <v>6219</v>
      </c>
      <c r="E1743" t="str">
        <f>"00"</f>
        <v>00</v>
      </c>
      <c r="F1743" t="str">
        <f t="shared" si="534"/>
        <v>999</v>
      </c>
      <c r="G1743">
        <v>5</v>
      </c>
      <c r="H1743" t="str">
        <f t="shared" si="535"/>
        <v>99</v>
      </c>
      <c r="I1743" t="str">
        <f t="shared" si="537"/>
        <v>0</v>
      </c>
      <c r="J1743" t="str">
        <f t="shared" si="538"/>
        <v>00</v>
      </c>
      <c r="K1743">
        <v>20150630</v>
      </c>
      <c r="L1743" t="str">
        <f>"015065"</f>
        <v>015065</v>
      </c>
      <c r="M1743" t="str">
        <f>"00102"</f>
        <v>00102</v>
      </c>
      <c r="N1743" t="s">
        <v>367</v>
      </c>
      <c r="O1743">
        <v>145</v>
      </c>
      <c r="Q1743" t="s">
        <v>33</v>
      </c>
      <c r="R1743" t="s">
        <v>34</v>
      </c>
      <c r="S1743" t="s">
        <v>35</v>
      </c>
      <c r="T1743" t="s">
        <v>35</v>
      </c>
      <c r="U1743" t="s">
        <v>34</v>
      </c>
      <c r="V1743" t="str">
        <f>""</f>
        <v/>
      </c>
      <c r="W1743">
        <v>20150630</v>
      </c>
      <c r="X1743" t="s">
        <v>183</v>
      </c>
      <c r="Y1743" t="s">
        <v>368</v>
      </c>
      <c r="Z1743" t="s">
        <v>368</v>
      </c>
      <c r="AA1743">
        <v>0</v>
      </c>
      <c r="AB1743" t="s">
        <v>142</v>
      </c>
      <c r="AC1743" t="s">
        <v>143</v>
      </c>
      <c r="AD1743" t="s">
        <v>40</v>
      </c>
      <c r="AE1743" t="str">
        <f t="shared" si="536"/>
        <v>06</v>
      </c>
      <c r="AF1743" t="s">
        <v>40</v>
      </c>
    </row>
    <row r="1744" spans="1:32" x14ac:dyDescent="0.25">
      <c r="A1744">
        <v>5</v>
      </c>
      <c r="B1744">
        <v>420</v>
      </c>
      <c r="C1744" t="str">
        <f t="shared" si="532"/>
        <v>51</v>
      </c>
      <c r="D1744">
        <v>6259</v>
      </c>
      <c r="E1744" t="str">
        <f>"53"</f>
        <v>53</v>
      </c>
      <c r="F1744" t="str">
        <f t="shared" si="534"/>
        <v>999</v>
      </c>
      <c r="G1744">
        <v>5</v>
      </c>
      <c r="H1744" t="str">
        <f t="shared" si="535"/>
        <v>99</v>
      </c>
      <c r="I1744" t="str">
        <f t="shared" si="537"/>
        <v>0</v>
      </c>
      <c r="J1744" t="str">
        <f t="shared" si="538"/>
        <v>00</v>
      </c>
      <c r="K1744">
        <v>20150630</v>
      </c>
      <c r="L1744" t="str">
        <f>"015066"</f>
        <v>015066</v>
      </c>
      <c r="M1744" t="str">
        <f>"00726"</f>
        <v>00726</v>
      </c>
      <c r="N1744" t="s">
        <v>227</v>
      </c>
      <c r="O1744" s="1">
        <v>2212.0300000000002</v>
      </c>
      <c r="Q1744" t="s">
        <v>33</v>
      </c>
      <c r="R1744" t="s">
        <v>34</v>
      </c>
      <c r="S1744" t="s">
        <v>35</v>
      </c>
      <c r="T1744" t="s">
        <v>35</v>
      </c>
      <c r="U1744" t="s">
        <v>34</v>
      </c>
      <c r="V1744" t="str">
        <f>""</f>
        <v/>
      </c>
      <c r="W1744">
        <v>20150629</v>
      </c>
      <c r="X1744" t="s">
        <v>228</v>
      </c>
      <c r="Y1744" t="s">
        <v>229</v>
      </c>
      <c r="Z1744" t="s">
        <v>229</v>
      </c>
      <c r="AA1744">
        <v>0</v>
      </c>
      <c r="AB1744" t="s">
        <v>142</v>
      </c>
      <c r="AC1744" t="s">
        <v>143</v>
      </c>
      <c r="AD1744" t="s">
        <v>40</v>
      </c>
      <c r="AE1744" t="str">
        <f t="shared" si="536"/>
        <v>06</v>
      </c>
      <c r="AF1744" t="s">
        <v>40</v>
      </c>
    </row>
    <row r="1745" spans="1:32" x14ac:dyDescent="0.25">
      <c r="A1745">
        <v>5</v>
      </c>
      <c r="B1745">
        <v>420</v>
      </c>
      <c r="C1745" t="str">
        <f t="shared" si="532"/>
        <v>51</v>
      </c>
      <c r="D1745">
        <v>6259</v>
      </c>
      <c r="E1745" t="str">
        <f>"53"</f>
        <v>53</v>
      </c>
      <c r="F1745" t="str">
        <f t="shared" si="534"/>
        <v>999</v>
      </c>
      <c r="G1745">
        <v>5</v>
      </c>
      <c r="H1745" t="str">
        <f t="shared" si="535"/>
        <v>99</v>
      </c>
      <c r="I1745" t="str">
        <f t="shared" si="537"/>
        <v>0</v>
      </c>
      <c r="J1745" t="str">
        <f t="shared" si="538"/>
        <v>00</v>
      </c>
      <c r="K1745">
        <v>20150630</v>
      </c>
      <c r="L1745" t="str">
        <f>"015066"</f>
        <v>015066</v>
      </c>
      <c r="M1745" t="str">
        <f>"00726"</f>
        <v>00726</v>
      </c>
      <c r="N1745" t="s">
        <v>227</v>
      </c>
      <c r="O1745" s="1">
        <v>1990.39</v>
      </c>
      <c r="Q1745" t="s">
        <v>33</v>
      </c>
      <c r="R1745" t="s">
        <v>34</v>
      </c>
      <c r="S1745" t="s">
        <v>35</v>
      </c>
      <c r="T1745" t="s">
        <v>35</v>
      </c>
      <c r="U1745" t="s">
        <v>34</v>
      </c>
      <c r="V1745" t="str">
        <f>""</f>
        <v/>
      </c>
      <c r="W1745">
        <v>20150629</v>
      </c>
      <c r="X1745" t="s">
        <v>228</v>
      </c>
      <c r="Y1745" t="s">
        <v>229</v>
      </c>
      <c r="Z1745" t="s">
        <v>229</v>
      </c>
      <c r="AA1745">
        <v>0</v>
      </c>
      <c r="AB1745" t="s">
        <v>142</v>
      </c>
      <c r="AC1745" t="s">
        <v>143</v>
      </c>
      <c r="AD1745" t="s">
        <v>40</v>
      </c>
      <c r="AE1745" t="str">
        <f t="shared" si="536"/>
        <v>06</v>
      </c>
      <c r="AF1745" t="s">
        <v>40</v>
      </c>
    </row>
    <row r="1746" spans="1:32" x14ac:dyDescent="0.25">
      <c r="A1746">
        <v>5</v>
      </c>
      <c r="B1746">
        <v>420</v>
      </c>
      <c r="C1746" t="str">
        <f t="shared" si="532"/>
        <v>51</v>
      </c>
      <c r="D1746">
        <v>6259</v>
      </c>
      <c r="E1746" t="str">
        <f>"53"</f>
        <v>53</v>
      </c>
      <c r="F1746" t="str">
        <f t="shared" si="534"/>
        <v>999</v>
      </c>
      <c r="G1746">
        <v>5</v>
      </c>
      <c r="H1746" t="str">
        <f t="shared" si="535"/>
        <v>99</v>
      </c>
      <c r="I1746" t="str">
        <f t="shared" si="537"/>
        <v>0</v>
      </c>
      <c r="J1746" t="str">
        <f t="shared" si="538"/>
        <v>00</v>
      </c>
      <c r="K1746">
        <v>20150630</v>
      </c>
      <c r="L1746" t="str">
        <f>"015066"</f>
        <v>015066</v>
      </c>
      <c r="M1746" t="str">
        <f>"00726"</f>
        <v>00726</v>
      </c>
      <c r="N1746" t="s">
        <v>227</v>
      </c>
      <c r="O1746">
        <v>810.49</v>
      </c>
      <c r="Q1746" t="s">
        <v>33</v>
      </c>
      <c r="R1746" t="s">
        <v>34</v>
      </c>
      <c r="S1746" t="s">
        <v>35</v>
      </c>
      <c r="T1746" t="s">
        <v>35</v>
      </c>
      <c r="U1746" t="s">
        <v>34</v>
      </c>
      <c r="V1746" t="str">
        <f>""</f>
        <v/>
      </c>
      <c r="W1746">
        <v>20150629</v>
      </c>
      <c r="X1746" t="s">
        <v>228</v>
      </c>
      <c r="Y1746" t="s">
        <v>229</v>
      </c>
      <c r="Z1746" t="s">
        <v>229</v>
      </c>
      <c r="AA1746">
        <v>0</v>
      </c>
      <c r="AB1746" t="s">
        <v>142</v>
      </c>
      <c r="AC1746" t="s">
        <v>143</v>
      </c>
      <c r="AD1746" t="s">
        <v>40</v>
      </c>
      <c r="AE1746" t="str">
        <f t="shared" si="536"/>
        <v>06</v>
      </c>
      <c r="AF1746" t="s">
        <v>40</v>
      </c>
    </row>
    <row r="1747" spans="1:32" x14ac:dyDescent="0.25">
      <c r="A1747">
        <v>5</v>
      </c>
      <c r="B1747">
        <v>420</v>
      </c>
      <c r="C1747" t="str">
        <f t="shared" si="532"/>
        <v>51</v>
      </c>
      <c r="D1747">
        <v>6259</v>
      </c>
      <c r="E1747" t="str">
        <f>"53"</f>
        <v>53</v>
      </c>
      <c r="F1747" t="str">
        <f t="shared" si="534"/>
        <v>999</v>
      </c>
      <c r="G1747">
        <v>5</v>
      </c>
      <c r="H1747" t="str">
        <f t="shared" si="535"/>
        <v>99</v>
      </c>
      <c r="I1747" t="str">
        <f t="shared" si="537"/>
        <v>0</v>
      </c>
      <c r="J1747" t="str">
        <f t="shared" si="538"/>
        <v>00</v>
      </c>
      <c r="K1747">
        <v>20150630</v>
      </c>
      <c r="L1747" t="str">
        <f>"015066"</f>
        <v>015066</v>
      </c>
      <c r="M1747" t="str">
        <f>"00726"</f>
        <v>00726</v>
      </c>
      <c r="N1747" t="s">
        <v>227</v>
      </c>
      <c r="O1747">
        <v>902.17</v>
      </c>
      <c r="Q1747" t="s">
        <v>33</v>
      </c>
      <c r="R1747" t="s">
        <v>34</v>
      </c>
      <c r="S1747" t="s">
        <v>35</v>
      </c>
      <c r="T1747" t="s">
        <v>35</v>
      </c>
      <c r="U1747" t="s">
        <v>34</v>
      </c>
      <c r="V1747" t="str">
        <f>""</f>
        <v/>
      </c>
      <c r="W1747">
        <v>20150629</v>
      </c>
      <c r="X1747" t="s">
        <v>228</v>
      </c>
      <c r="Y1747" t="s">
        <v>229</v>
      </c>
      <c r="Z1747" t="s">
        <v>229</v>
      </c>
      <c r="AA1747">
        <v>0</v>
      </c>
      <c r="AB1747" t="s">
        <v>142</v>
      </c>
      <c r="AC1747" t="s">
        <v>143</v>
      </c>
      <c r="AD1747" t="s">
        <v>40</v>
      </c>
      <c r="AE1747" t="str">
        <f t="shared" si="536"/>
        <v>06</v>
      </c>
      <c r="AF1747" t="s">
        <v>40</v>
      </c>
    </row>
    <row r="1748" spans="1:32" x14ac:dyDescent="0.25">
      <c r="A1748">
        <v>5</v>
      </c>
      <c r="B1748">
        <v>240</v>
      </c>
      <c r="C1748" t="str">
        <f t="shared" ref="C1748:C1755" si="539">"35"</f>
        <v>35</v>
      </c>
      <c r="D1748">
        <v>6341</v>
      </c>
      <c r="E1748" t="str">
        <f t="shared" ref="E1748:E1773" si="540">"00"</f>
        <v>00</v>
      </c>
      <c r="F1748" t="str">
        <f t="shared" si="534"/>
        <v>999</v>
      </c>
      <c r="G1748">
        <v>5</v>
      </c>
      <c r="H1748" t="str">
        <f t="shared" si="535"/>
        <v>99</v>
      </c>
      <c r="I1748" t="str">
        <f t="shared" si="537"/>
        <v>0</v>
      </c>
      <c r="J1748" t="str">
        <f t="shared" si="538"/>
        <v>00</v>
      </c>
      <c r="K1748">
        <v>20150630</v>
      </c>
      <c r="L1748" t="str">
        <f t="shared" ref="L1748:L1755" si="541">"015067"</f>
        <v>015067</v>
      </c>
      <c r="M1748" t="str">
        <f t="shared" ref="M1748:M1755" si="542">"00410"</f>
        <v>00410</v>
      </c>
      <c r="N1748" t="s">
        <v>324</v>
      </c>
      <c r="O1748">
        <v>444.6</v>
      </c>
      <c r="Q1748" t="s">
        <v>33</v>
      </c>
      <c r="R1748" t="s">
        <v>34</v>
      </c>
      <c r="S1748" t="s">
        <v>35</v>
      </c>
      <c r="T1748" t="s">
        <v>35</v>
      </c>
      <c r="U1748" t="s">
        <v>34</v>
      </c>
      <c r="V1748" t="str">
        <f>""</f>
        <v/>
      </c>
      <c r="W1748">
        <v>20150629</v>
      </c>
      <c r="X1748" t="s">
        <v>268</v>
      </c>
      <c r="Y1748" t="s">
        <v>310</v>
      </c>
      <c r="Z1748" t="s">
        <v>310</v>
      </c>
      <c r="AA1748">
        <v>0</v>
      </c>
      <c r="AB1748" t="s">
        <v>238</v>
      </c>
      <c r="AC1748" t="s">
        <v>143</v>
      </c>
      <c r="AD1748" t="s">
        <v>40</v>
      </c>
      <c r="AE1748" t="str">
        <f t="shared" si="536"/>
        <v>06</v>
      </c>
      <c r="AF1748" t="s">
        <v>40</v>
      </c>
    </row>
    <row r="1749" spans="1:32" x14ac:dyDescent="0.25">
      <c r="A1749">
        <v>5</v>
      </c>
      <c r="B1749">
        <v>240</v>
      </c>
      <c r="C1749" t="str">
        <f t="shared" si="539"/>
        <v>35</v>
      </c>
      <c r="D1749">
        <v>6341</v>
      </c>
      <c r="E1749" t="str">
        <f t="shared" si="540"/>
        <v>00</v>
      </c>
      <c r="F1749" t="str">
        <f t="shared" si="534"/>
        <v>999</v>
      </c>
      <c r="G1749">
        <v>5</v>
      </c>
      <c r="H1749" t="str">
        <f t="shared" si="535"/>
        <v>99</v>
      </c>
      <c r="I1749" t="str">
        <f t="shared" si="537"/>
        <v>0</v>
      </c>
      <c r="J1749" t="str">
        <f t="shared" si="538"/>
        <v>00</v>
      </c>
      <c r="K1749">
        <v>20150630</v>
      </c>
      <c r="L1749" t="str">
        <f t="shared" si="541"/>
        <v>015067</v>
      </c>
      <c r="M1749" t="str">
        <f t="shared" si="542"/>
        <v>00410</v>
      </c>
      <c r="N1749" t="s">
        <v>324</v>
      </c>
      <c r="O1749">
        <v>370.5</v>
      </c>
      <c r="Q1749" t="s">
        <v>33</v>
      </c>
      <c r="R1749" t="s">
        <v>34</v>
      </c>
      <c r="S1749" t="s">
        <v>35</v>
      </c>
      <c r="T1749" t="s">
        <v>35</v>
      </c>
      <c r="U1749" t="s">
        <v>34</v>
      </c>
      <c r="V1749" t="str">
        <f>""</f>
        <v/>
      </c>
      <c r="W1749">
        <v>20150629</v>
      </c>
      <c r="X1749" t="s">
        <v>268</v>
      </c>
      <c r="Y1749" t="s">
        <v>310</v>
      </c>
      <c r="Z1749" t="s">
        <v>310</v>
      </c>
      <c r="AA1749">
        <v>0</v>
      </c>
      <c r="AB1749" t="s">
        <v>238</v>
      </c>
      <c r="AC1749" t="s">
        <v>143</v>
      </c>
      <c r="AD1749" t="s">
        <v>40</v>
      </c>
      <c r="AE1749" t="str">
        <f t="shared" ref="AE1749:AE1773" si="543">"06"</f>
        <v>06</v>
      </c>
      <c r="AF1749" t="s">
        <v>40</v>
      </c>
    </row>
    <row r="1750" spans="1:32" x14ac:dyDescent="0.25">
      <c r="A1750">
        <v>5</v>
      </c>
      <c r="B1750">
        <v>240</v>
      </c>
      <c r="C1750" t="str">
        <f t="shared" si="539"/>
        <v>35</v>
      </c>
      <c r="D1750">
        <v>6341</v>
      </c>
      <c r="E1750" t="str">
        <f t="shared" si="540"/>
        <v>00</v>
      </c>
      <c r="F1750" t="str">
        <f t="shared" si="534"/>
        <v>999</v>
      </c>
      <c r="G1750">
        <v>5</v>
      </c>
      <c r="H1750" t="str">
        <f t="shared" si="535"/>
        <v>99</v>
      </c>
      <c r="I1750" t="str">
        <f t="shared" si="537"/>
        <v>0</v>
      </c>
      <c r="J1750" t="str">
        <f t="shared" si="538"/>
        <v>00</v>
      </c>
      <c r="K1750">
        <v>20150630</v>
      </c>
      <c r="L1750" t="str">
        <f t="shared" si="541"/>
        <v>015067</v>
      </c>
      <c r="M1750" t="str">
        <f t="shared" si="542"/>
        <v>00410</v>
      </c>
      <c r="N1750" t="s">
        <v>324</v>
      </c>
      <c r="O1750">
        <v>382.85</v>
      </c>
      <c r="Q1750" t="s">
        <v>33</v>
      </c>
      <c r="R1750" t="s">
        <v>34</v>
      </c>
      <c r="S1750" t="s">
        <v>35</v>
      </c>
      <c r="T1750" t="s">
        <v>35</v>
      </c>
      <c r="U1750" t="s">
        <v>34</v>
      </c>
      <c r="V1750" t="str">
        <f>""</f>
        <v/>
      </c>
      <c r="W1750">
        <v>20150629</v>
      </c>
      <c r="X1750" t="s">
        <v>268</v>
      </c>
      <c r="Y1750" t="s">
        <v>310</v>
      </c>
      <c r="Z1750" t="s">
        <v>310</v>
      </c>
      <c r="AA1750">
        <v>0</v>
      </c>
      <c r="AB1750" t="s">
        <v>238</v>
      </c>
      <c r="AC1750" t="s">
        <v>143</v>
      </c>
      <c r="AD1750" t="s">
        <v>40</v>
      </c>
      <c r="AE1750" t="str">
        <f t="shared" si="543"/>
        <v>06</v>
      </c>
      <c r="AF1750" t="s">
        <v>40</v>
      </c>
    </row>
    <row r="1751" spans="1:32" x14ac:dyDescent="0.25">
      <c r="A1751">
        <v>5</v>
      </c>
      <c r="B1751">
        <v>240</v>
      </c>
      <c r="C1751" t="str">
        <f t="shared" si="539"/>
        <v>35</v>
      </c>
      <c r="D1751">
        <v>6341</v>
      </c>
      <c r="E1751" t="str">
        <f t="shared" si="540"/>
        <v>00</v>
      </c>
      <c r="F1751" t="str">
        <f t="shared" si="534"/>
        <v>999</v>
      </c>
      <c r="G1751">
        <v>5</v>
      </c>
      <c r="H1751" t="str">
        <f t="shared" si="535"/>
        <v>99</v>
      </c>
      <c r="I1751" t="str">
        <f t="shared" si="537"/>
        <v>0</v>
      </c>
      <c r="J1751" t="str">
        <f t="shared" si="538"/>
        <v>00</v>
      </c>
      <c r="K1751">
        <v>20150630</v>
      </c>
      <c r="L1751" t="str">
        <f t="shared" si="541"/>
        <v>015067</v>
      </c>
      <c r="M1751" t="str">
        <f t="shared" si="542"/>
        <v>00410</v>
      </c>
      <c r="N1751" t="s">
        <v>324</v>
      </c>
      <c r="O1751">
        <v>333.45</v>
      </c>
      <c r="Q1751" t="s">
        <v>33</v>
      </c>
      <c r="R1751" t="s">
        <v>34</v>
      </c>
      <c r="S1751" t="s">
        <v>35</v>
      </c>
      <c r="T1751" t="s">
        <v>35</v>
      </c>
      <c r="U1751" t="s">
        <v>34</v>
      </c>
      <c r="V1751" t="str">
        <f>""</f>
        <v/>
      </c>
      <c r="W1751">
        <v>20150629</v>
      </c>
      <c r="X1751" t="s">
        <v>268</v>
      </c>
      <c r="Y1751" t="s">
        <v>310</v>
      </c>
      <c r="Z1751" t="s">
        <v>310</v>
      </c>
      <c r="AA1751">
        <v>0</v>
      </c>
      <c r="AB1751" t="s">
        <v>238</v>
      </c>
      <c r="AC1751" t="s">
        <v>143</v>
      </c>
      <c r="AD1751" t="s">
        <v>40</v>
      </c>
      <c r="AE1751" t="str">
        <f t="shared" si="543"/>
        <v>06</v>
      </c>
      <c r="AF1751" t="s">
        <v>40</v>
      </c>
    </row>
    <row r="1752" spans="1:32" x14ac:dyDescent="0.25">
      <c r="A1752">
        <v>5</v>
      </c>
      <c r="B1752">
        <v>240</v>
      </c>
      <c r="C1752" t="str">
        <f t="shared" si="539"/>
        <v>35</v>
      </c>
      <c r="D1752">
        <v>6341</v>
      </c>
      <c r="E1752" t="str">
        <f t="shared" si="540"/>
        <v>00</v>
      </c>
      <c r="F1752" t="str">
        <f t="shared" si="534"/>
        <v>999</v>
      </c>
      <c r="G1752">
        <v>5</v>
      </c>
      <c r="H1752" t="str">
        <f t="shared" si="535"/>
        <v>99</v>
      </c>
      <c r="I1752" t="str">
        <f t="shared" si="537"/>
        <v>0</v>
      </c>
      <c r="J1752" t="str">
        <f t="shared" si="538"/>
        <v>00</v>
      </c>
      <c r="K1752">
        <v>20150630</v>
      </c>
      <c r="L1752" t="str">
        <f t="shared" si="541"/>
        <v>015067</v>
      </c>
      <c r="M1752" t="str">
        <f t="shared" si="542"/>
        <v>00410</v>
      </c>
      <c r="N1752" t="s">
        <v>324</v>
      </c>
      <c r="O1752">
        <v>370.5</v>
      </c>
      <c r="Q1752" t="s">
        <v>33</v>
      </c>
      <c r="R1752" t="s">
        <v>34</v>
      </c>
      <c r="S1752" t="s">
        <v>35</v>
      </c>
      <c r="T1752" t="s">
        <v>35</v>
      </c>
      <c r="U1752" t="s">
        <v>34</v>
      </c>
      <c r="V1752" t="str">
        <f>""</f>
        <v/>
      </c>
      <c r="W1752">
        <v>20150629</v>
      </c>
      <c r="X1752" t="s">
        <v>268</v>
      </c>
      <c r="Y1752" t="s">
        <v>310</v>
      </c>
      <c r="Z1752" t="s">
        <v>310</v>
      </c>
      <c r="AA1752">
        <v>0</v>
      </c>
      <c r="AB1752" t="s">
        <v>238</v>
      </c>
      <c r="AC1752" t="s">
        <v>143</v>
      </c>
      <c r="AD1752" t="s">
        <v>40</v>
      </c>
      <c r="AE1752" t="str">
        <f t="shared" si="543"/>
        <v>06</v>
      </c>
      <c r="AF1752" t="s">
        <v>40</v>
      </c>
    </row>
    <row r="1753" spans="1:32" x14ac:dyDescent="0.25">
      <c r="A1753">
        <v>5</v>
      </c>
      <c r="B1753">
        <v>240</v>
      </c>
      <c r="C1753" t="str">
        <f t="shared" si="539"/>
        <v>35</v>
      </c>
      <c r="D1753">
        <v>6341</v>
      </c>
      <c r="E1753" t="str">
        <f t="shared" si="540"/>
        <v>00</v>
      </c>
      <c r="F1753" t="str">
        <f t="shared" si="534"/>
        <v>999</v>
      </c>
      <c r="G1753">
        <v>5</v>
      </c>
      <c r="H1753" t="str">
        <f t="shared" si="535"/>
        <v>99</v>
      </c>
      <c r="I1753" t="str">
        <f t="shared" si="537"/>
        <v>0</v>
      </c>
      <c r="J1753" t="str">
        <f t="shared" si="538"/>
        <v>00</v>
      </c>
      <c r="K1753">
        <v>20150630</v>
      </c>
      <c r="L1753" t="str">
        <f t="shared" si="541"/>
        <v>015067</v>
      </c>
      <c r="M1753" t="str">
        <f t="shared" si="542"/>
        <v>00410</v>
      </c>
      <c r="N1753" t="s">
        <v>324</v>
      </c>
      <c r="O1753">
        <v>345.8</v>
      </c>
      <c r="Q1753" t="s">
        <v>33</v>
      </c>
      <c r="R1753" t="s">
        <v>34</v>
      </c>
      <c r="S1753" t="s">
        <v>35</v>
      </c>
      <c r="T1753" t="s">
        <v>35</v>
      </c>
      <c r="U1753" t="s">
        <v>34</v>
      </c>
      <c r="V1753" t="str">
        <f>""</f>
        <v/>
      </c>
      <c r="W1753">
        <v>20150629</v>
      </c>
      <c r="X1753" t="s">
        <v>268</v>
      </c>
      <c r="Y1753" t="s">
        <v>310</v>
      </c>
      <c r="Z1753" t="s">
        <v>310</v>
      </c>
      <c r="AA1753">
        <v>0</v>
      </c>
      <c r="AB1753" t="s">
        <v>238</v>
      </c>
      <c r="AC1753" t="s">
        <v>143</v>
      </c>
      <c r="AD1753" t="s">
        <v>40</v>
      </c>
      <c r="AE1753" t="str">
        <f t="shared" si="543"/>
        <v>06</v>
      </c>
      <c r="AF1753" t="s">
        <v>40</v>
      </c>
    </row>
    <row r="1754" spans="1:32" x14ac:dyDescent="0.25">
      <c r="A1754">
        <v>5</v>
      </c>
      <c r="B1754">
        <v>240</v>
      </c>
      <c r="C1754" t="str">
        <f t="shared" si="539"/>
        <v>35</v>
      </c>
      <c r="D1754">
        <v>6341</v>
      </c>
      <c r="E1754" t="str">
        <f t="shared" si="540"/>
        <v>00</v>
      </c>
      <c r="F1754" t="str">
        <f t="shared" si="534"/>
        <v>999</v>
      </c>
      <c r="G1754">
        <v>5</v>
      </c>
      <c r="H1754" t="str">
        <f t="shared" si="535"/>
        <v>99</v>
      </c>
      <c r="I1754" t="str">
        <f t="shared" si="537"/>
        <v>0</v>
      </c>
      <c r="J1754" t="str">
        <f t="shared" si="538"/>
        <v>00</v>
      </c>
      <c r="K1754">
        <v>20150630</v>
      </c>
      <c r="L1754" t="str">
        <f t="shared" si="541"/>
        <v>015067</v>
      </c>
      <c r="M1754" t="str">
        <f t="shared" si="542"/>
        <v>00410</v>
      </c>
      <c r="N1754" t="s">
        <v>324</v>
      </c>
      <c r="O1754">
        <v>518.70000000000005</v>
      </c>
      <c r="Q1754" t="s">
        <v>33</v>
      </c>
      <c r="R1754" t="s">
        <v>34</v>
      </c>
      <c r="S1754" t="s">
        <v>35</v>
      </c>
      <c r="T1754" t="s">
        <v>35</v>
      </c>
      <c r="U1754" t="s">
        <v>34</v>
      </c>
      <c r="V1754" t="str">
        <f>""</f>
        <v/>
      </c>
      <c r="W1754">
        <v>20150629</v>
      </c>
      <c r="X1754" t="s">
        <v>268</v>
      </c>
      <c r="Y1754" t="s">
        <v>310</v>
      </c>
      <c r="Z1754" t="s">
        <v>310</v>
      </c>
      <c r="AA1754">
        <v>0</v>
      </c>
      <c r="AB1754" t="s">
        <v>238</v>
      </c>
      <c r="AC1754" t="s">
        <v>143</v>
      </c>
      <c r="AD1754" t="s">
        <v>40</v>
      </c>
      <c r="AE1754" t="str">
        <f t="shared" si="543"/>
        <v>06</v>
      </c>
      <c r="AF1754" t="s">
        <v>40</v>
      </c>
    </row>
    <row r="1755" spans="1:32" x14ac:dyDescent="0.25">
      <c r="A1755">
        <v>5</v>
      </c>
      <c r="B1755">
        <v>240</v>
      </c>
      <c r="C1755" t="str">
        <f t="shared" si="539"/>
        <v>35</v>
      </c>
      <c r="D1755">
        <v>6341</v>
      </c>
      <c r="E1755" t="str">
        <f t="shared" si="540"/>
        <v>00</v>
      </c>
      <c r="F1755" t="str">
        <f t="shared" si="534"/>
        <v>999</v>
      </c>
      <c r="G1755">
        <v>5</v>
      </c>
      <c r="H1755" t="str">
        <f t="shared" si="535"/>
        <v>99</v>
      </c>
      <c r="I1755" t="str">
        <f t="shared" si="537"/>
        <v>0</v>
      </c>
      <c r="J1755" t="str">
        <f t="shared" si="538"/>
        <v>00</v>
      </c>
      <c r="K1755">
        <v>20150630</v>
      </c>
      <c r="L1755" t="str">
        <f t="shared" si="541"/>
        <v>015067</v>
      </c>
      <c r="M1755" t="str">
        <f t="shared" si="542"/>
        <v>00410</v>
      </c>
      <c r="N1755" t="s">
        <v>324</v>
      </c>
      <c r="O1755">
        <v>-12.35</v>
      </c>
      <c r="Q1755" t="s">
        <v>33</v>
      </c>
      <c r="R1755" t="s">
        <v>34</v>
      </c>
      <c r="S1755" t="s">
        <v>35</v>
      </c>
      <c r="T1755" t="s">
        <v>35</v>
      </c>
      <c r="U1755" t="s">
        <v>34</v>
      </c>
      <c r="V1755" t="s">
        <v>110</v>
      </c>
      <c r="W1755">
        <v>20150629</v>
      </c>
      <c r="X1755" t="s">
        <v>268</v>
      </c>
      <c r="Y1755" t="s">
        <v>664</v>
      </c>
      <c r="Z1755" t="s">
        <v>664</v>
      </c>
      <c r="AA1755">
        <v>0</v>
      </c>
      <c r="AB1755" t="s">
        <v>238</v>
      </c>
      <c r="AC1755" t="s">
        <v>143</v>
      </c>
      <c r="AD1755" t="s">
        <v>112</v>
      </c>
      <c r="AE1755" t="str">
        <f t="shared" si="543"/>
        <v>06</v>
      </c>
      <c r="AF1755" t="s">
        <v>40</v>
      </c>
    </row>
    <row r="1756" spans="1:32" x14ac:dyDescent="0.25">
      <c r="A1756">
        <v>5</v>
      </c>
      <c r="B1756">
        <v>420</v>
      </c>
      <c r="C1756" t="str">
        <f>"11"</f>
        <v>11</v>
      </c>
      <c r="D1756">
        <v>6399</v>
      </c>
      <c r="E1756" t="str">
        <f t="shared" si="540"/>
        <v>00</v>
      </c>
      <c r="F1756" t="str">
        <f>"001"</f>
        <v>001</v>
      </c>
      <c r="G1756">
        <v>5</v>
      </c>
      <c r="H1756" t="str">
        <f t="shared" ref="H1756:H1761" si="544">"11"</f>
        <v>11</v>
      </c>
      <c r="I1756" t="str">
        <f t="shared" si="537"/>
        <v>0</v>
      </c>
      <c r="J1756" t="str">
        <f t="shared" si="538"/>
        <v>00</v>
      </c>
      <c r="K1756">
        <v>20150630</v>
      </c>
      <c r="L1756" t="str">
        <f>"015068"</f>
        <v>015068</v>
      </c>
      <c r="M1756" t="str">
        <f>"00866"</f>
        <v>00866</v>
      </c>
      <c r="N1756" t="s">
        <v>113</v>
      </c>
      <c r="O1756">
        <v>134.38</v>
      </c>
      <c r="Q1756" t="s">
        <v>33</v>
      </c>
      <c r="R1756" t="s">
        <v>34</v>
      </c>
      <c r="S1756" t="s">
        <v>35</v>
      </c>
      <c r="T1756" t="s">
        <v>35</v>
      </c>
      <c r="U1756" t="s">
        <v>34</v>
      </c>
      <c r="V1756" t="str">
        <f>""</f>
        <v/>
      </c>
      <c r="W1756">
        <v>20150629</v>
      </c>
      <c r="X1756" t="s">
        <v>239</v>
      </c>
      <c r="Y1756" t="s">
        <v>588</v>
      </c>
      <c r="Z1756" t="s">
        <v>588</v>
      </c>
      <c r="AA1756">
        <v>0</v>
      </c>
      <c r="AB1756" t="s">
        <v>142</v>
      </c>
      <c r="AC1756" t="s">
        <v>41</v>
      </c>
      <c r="AD1756" t="s">
        <v>40</v>
      </c>
      <c r="AE1756" t="str">
        <f t="shared" si="543"/>
        <v>06</v>
      </c>
      <c r="AF1756" t="s">
        <v>40</v>
      </c>
    </row>
    <row r="1757" spans="1:32" x14ac:dyDescent="0.25">
      <c r="A1757">
        <v>5</v>
      </c>
      <c r="B1757">
        <v>420</v>
      </c>
      <c r="C1757" t="str">
        <f>"11"</f>
        <v>11</v>
      </c>
      <c r="D1757">
        <v>6399</v>
      </c>
      <c r="E1757" t="str">
        <f t="shared" si="540"/>
        <v>00</v>
      </c>
      <c r="F1757" t="str">
        <f>"041"</f>
        <v>041</v>
      </c>
      <c r="G1757">
        <v>5</v>
      </c>
      <c r="H1757" t="str">
        <f t="shared" si="544"/>
        <v>11</v>
      </c>
      <c r="I1757" t="str">
        <f t="shared" si="537"/>
        <v>0</v>
      </c>
      <c r="J1757" t="str">
        <f t="shared" si="538"/>
        <v>00</v>
      </c>
      <c r="K1757">
        <v>20150630</v>
      </c>
      <c r="L1757" t="str">
        <f>"015068"</f>
        <v>015068</v>
      </c>
      <c r="M1757" t="str">
        <f>"00866"</f>
        <v>00866</v>
      </c>
      <c r="N1757" t="s">
        <v>113</v>
      </c>
      <c r="O1757">
        <v>134.38</v>
      </c>
      <c r="Q1757" t="s">
        <v>33</v>
      </c>
      <c r="R1757" t="s">
        <v>34</v>
      </c>
      <c r="S1757" t="s">
        <v>35</v>
      </c>
      <c r="T1757" t="s">
        <v>35</v>
      </c>
      <c r="U1757" t="s">
        <v>34</v>
      </c>
      <c r="V1757" t="str">
        <f>""</f>
        <v/>
      </c>
      <c r="W1757">
        <v>20150629</v>
      </c>
      <c r="X1757" t="s">
        <v>241</v>
      </c>
      <c r="Y1757" t="s">
        <v>588</v>
      </c>
      <c r="Z1757" t="s">
        <v>588</v>
      </c>
      <c r="AA1757">
        <v>0</v>
      </c>
      <c r="AB1757" t="s">
        <v>142</v>
      </c>
      <c r="AC1757" t="s">
        <v>41</v>
      </c>
      <c r="AD1757" t="s">
        <v>40</v>
      </c>
      <c r="AE1757" t="str">
        <f t="shared" si="543"/>
        <v>06</v>
      </c>
      <c r="AF1757" t="s">
        <v>40</v>
      </c>
    </row>
    <row r="1758" spans="1:32" x14ac:dyDescent="0.25">
      <c r="A1758">
        <v>5</v>
      </c>
      <c r="B1758">
        <v>420</v>
      </c>
      <c r="C1758" t="str">
        <f>"11"</f>
        <v>11</v>
      </c>
      <c r="D1758">
        <v>6399</v>
      </c>
      <c r="E1758" t="str">
        <f t="shared" si="540"/>
        <v>00</v>
      </c>
      <c r="F1758" t="str">
        <f>"101"</f>
        <v>101</v>
      </c>
      <c r="G1758">
        <v>5</v>
      </c>
      <c r="H1758" t="str">
        <f t="shared" si="544"/>
        <v>11</v>
      </c>
      <c r="I1758" t="str">
        <f t="shared" si="537"/>
        <v>0</v>
      </c>
      <c r="J1758" t="str">
        <f t="shared" si="538"/>
        <v>00</v>
      </c>
      <c r="K1758">
        <v>20150630</v>
      </c>
      <c r="L1758" t="str">
        <f>"015068"</f>
        <v>015068</v>
      </c>
      <c r="M1758" t="str">
        <f>"00866"</f>
        <v>00866</v>
      </c>
      <c r="N1758" t="s">
        <v>113</v>
      </c>
      <c r="O1758">
        <v>571.09</v>
      </c>
      <c r="Q1758" t="s">
        <v>33</v>
      </c>
      <c r="R1758" t="s">
        <v>34</v>
      </c>
      <c r="S1758" t="s">
        <v>35</v>
      </c>
      <c r="T1758" t="s">
        <v>35</v>
      </c>
      <c r="U1758" t="s">
        <v>34</v>
      </c>
      <c r="V1758" t="str">
        <f>""</f>
        <v/>
      </c>
      <c r="W1758">
        <v>20150629</v>
      </c>
      <c r="X1758" t="s">
        <v>246</v>
      </c>
      <c r="Y1758" t="s">
        <v>588</v>
      </c>
      <c r="Z1758" t="s">
        <v>588</v>
      </c>
      <c r="AA1758">
        <v>0</v>
      </c>
      <c r="AB1758" t="s">
        <v>142</v>
      </c>
      <c r="AC1758" t="s">
        <v>41</v>
      </c>
      <c r="AD1758" t="s">
        <v>40</v>
      </c>
      <c r="AE1758" t="str">
        <f t="shared" si="543"/>
        <v>06</v>
      </c>
      <c r="AF1758" t="s">
        <v>40</v>
      </c>
    </row>
    <row r="1759" spans="1:32" x14ac:dyDescent="0.25">
      <c r="A1759">
        <v>5</v>
      </c>
      <c r="B1759">
        <v>420</v>
      </c>
      <c r="C1759" t="str">
        <f>"13"</f>
        <v>13</v>
      </c>
      <c r="D1759">
        <v>6399</v>
      </c>
      <c r="E1759" t="str">
        <f t="shared" si="540"/>
        <v>00</v>
      </c>
      <c r="F1759" t="str">
        <f>"001"</f>
        <v>001</v>
      </c>
      <c r="G1759">
        <v>5</v>
      </c>
      <c r="H1759" t="str">
        <f t="shared" si="544"/>
        <v>11</v>
      </c>
      <c r="I1759" t="str">
        <f t="shared" si="537"/>
        <v>0</v>
      </c>
      <c r="J1759" t="str">
        <f t="shared" si="538"/>
        <v>00</v>
      </c>
      <c r="K1759">
        <v>20150630</v>
      </c>
      <c r="L1759" t="str">
        <f>"015069"</f>
        <v>015069</v>
      </c>
      <c r="M1759" t="str">
        <f>"00301"</f>
        <v>00301</v>
      </c>
      <c r="N1759" t="s">
        <v>660</v>
      </c>
      <c r="O1759">
        <v>364.5</v>
      </c>
      <c r="Q1759" t="s">
        <v>33</v>
      </c>
      <c r="R1759" t="s">
        <v>34</v>
      </c>
      <c r="S1759" t="s">
        <v>35</v>
      </c>
      <c r="T1759" t="s">
        <v>35</v>
      </c>
      <c r="U1759" t="s">
        <v>34</v>
      </c>
      <c r="V1759" t="str">
        <f>""</f>
        <v/>
      </c>
      <c r="W1759">
        <v>20150629</v>
      </c>
      <c r="X1759" t="s">
        <v>390</v>
      </c>
      <c r="Y1759" t="s">
        <v>924</v>
      </c>
      <c r="Z1759" t="s">
        <v>924</v>
      </c>
      <c r="AA1759">
        <v>0</v>
      </c>
      <c r="AB1759" t="s">
        <v>142</v>
      </c>
      <c r="AC1759" t="s">
        <v>41</v>
      </c>
      <c r="AD1759" t="s">
        <v>40</v>
      </c>
      <c r="AE1759" t="str">
        <f t="shared" si="543"/>
        <v>06</v>
      </c>
      <c r="AF1759" t="s">
        <v>40</v>
      </c>
    </row>
    <row r="1760" spans="1:32" x14ac:dyDescent="0.25">
      <c r="A1760">
        <v>5</v>
      </c>
      <c r="B1760">
        <v>420</v>
      </c>
      <c r="C1760" t="str">
        <f>"13"</f>
        <v>13</v>
      </c>
      <c r="D1760">
        <v>6399</v>
      </c>
      <c r="E1760" t="str">
        <f t="shared" si="540"/>
        <v>00</v>
      </c>
      <c r="F1760" t="str">
        <f>"041"</f>
        <v>041</v>
      </c>
      <c r="G1760">
        <v>5</v>
      </c>
      <c r="H1760" t="str">
        <f t="shared" si="544"/>
        <v>11</v>
      </c>
      <c r="I1760" t="str">
        <f t="shared" si="537"/>
        <v>0</v>
      </c>
      <c r="J1760" t="str">
        <f t="shared" si="538"/>
        <v>00</v>
      </c>
      <c r="K1760">
        <v>20150630</v>
      </c>
      <c r="L1760" t="str">
        <f>"015069"</f>
        <v>015069</v>
      </c>
      <c r="M1760" t="str">
        <f>"00301"</f>
        <v>00301</v>
      </c>
      <c r="N1760" t="s">
        <v>660</v>
      </c>
      <c r="O1760">
        <v>591.29999999999995</v>
      </c>
      <c r="Q1760" t="s">
        <v>33</v>
      </c>
      <c r="R1760" t="s">
        <v>34</v>
      </c>
      <c r="S1760" t="s">
        <v>35</v>
      </c>
      <c r="T1760" t="s">
        <v>35</v>
      </c>
      <c r="U1760" t="s">
        <v>34</v>
      </c>
      <c r="V1760" t="str">
        <f>""</f>
        <v/>
      </c>
      <c r="W1760">
        <v>20150629</v>
      </c>
      <c r="X1760" t="s">
        <v>392</v>
      </c>
      <c r="Y1760" t="s">
        <v>924</v>
      </c>
      <c r="Z1760" t="s">
        <v>924</v>
      </c>
      <c r="AA1760">
        <v>0</v>
      </c>
      <c r="AB1760" t="s">
        <v>142</v>
      </c>
      <c r="AC1760" t="s">
        <v>41</v>
      </c>
      <c r="AD1760" t="s">
        <v>40</v>
      </c>
      <c r="AE1760" t="str">
        <f t="shared" si="543"/>
        <v>06</v>
      </c>
      <c r="AF1760" t="s">
        <v>40</v>
      </c>
    </row>
    <row r="1761" spans="1:32" x14ac:dyDescent="0.25">
      <c r="A1761">
        <v>5</v>
      </c>
      <c r="B1761">
        <v>420</v>
      </c>
      <c r="C1761" t="str">
        <f>"13"</f>
        <v>13</v>
      </c>
      <c r="D1761">
        <v>6399</v>
      </c>
      <c r="E1761" t="str">
        <f t="shared" si="540"/>
        <v>00</v>
      </c>
      <c r="F1761" t="str">
        <f>"101"</f>
        <v>101</v>
      </c>
      <c r="G1761">
        <v>5</v>
      </c>
      <c r="H1761" t="str">
        <f t="shared" si="544"/>
        <v>11</v>
      </c>
      <c r="I1761" t="str">
        <f t="shared" si="537"/>
        <v>0</v>
      </c>
      <c r="J1761" t="str">
        <f t="shared" si="538"/>
        <v>00</v>
      </c>
      <c r="K1761">
        <v>20150630</v>
      </c>
      <c r="L1761" t="str">
        <f>"015069"</f>
        <v>015069</v>
      </c>
      <c r="M1761" t="str">
        <f>"00301"</f>
        <v>00301</v>
      </c>
      <c r="N1761" t="s">
        <v>660</v>
      </c>
      <c r="O1761" s="1">
        <v>2088.3000000000002</v>
      </c>
      <c r="Q1761" t="s">
        <v>33</v>
      </c>
      <c r="R1761" t="s">
        <v>34</v>
      </c>
      <c r="S1761" t="s">
        <v>35</v>
      </c>
      <c r="T1761" t="s">
        <v>35</v>
      </c>
      <c r="U1761" t="s">
        <v>34</v>
      </c>
      <c r="V1761" t="str">
        <f>""</f>
        <v/>
      </c>
      <c r="W1761">
        <v>20150630</v>
      </c>
      <c r="X1761" t="s">
        <v>393</v>
      </c>
      <c r="Y1761" t="s">
        <v>924</v>
      </c>
      <c r="Z1761" t="s">
        <v>924</v>
      </c>
      <c r="AA1761">
        <v>0</v>
      </c>
      <c r="AB1761" t="s">
        <v>142</v>
      </c>
      <c r="AC1761" t="s">
        <v>41</v>
      </c>
      <c r="AD1761" t="s">
        <v>40</v>
      </c>
      <c r="AE1761" t="str">
        <f t="shared" si="543"/>
        <v>06</v>
      </c>
      <c r="AF1761" t="s">
        <v>40</v>
      </c>
    </row>
    <row r="1762" spans="1:32" x14ac:dyDescent="0.25">
      <c r="A1762">
        <v>5</v>
      </c>
      <c r="B1762">
        <v>420</v>
      </c>
      <c r="C1762" t="str">
        <f>"53"</f>
        <v>53</v>
      </c>
      <c r="D1762">
        <v>6219</v>
      </c>
      <c r="E1762" t="str">
        <f t="shared" si="540"/>
        <v>00</v>
      </c>
      <c r="F1762" t="str">
        <f>"999"</f>
        <v>999</v>
      </c>
      <c r="G1762">
        <v>5</v>
      </c>
      <c r="H1762" t="str">
        <f>"99"</f>
        <v>99</v>
      </c>
      <c r="I1762" t="str">
        <f t="shared" si="537"/>
        <v>0</v>
      </c>
      <c r="J1762" t="str">
        <f t="shared" si="538"/>
        <v>00</v>
      </c>
      <c r="K1762">
        <v>20150630</v>
      </c>
      <c r="L1762" t="str">
        <f>"015070"</f>
        <v>015070</v>
      </c>
      <c r="M1762" t="str">
        <f>"00865"</f>
        <v>00865</v>
      </c>
      <c r="N1762" t="s">
        <v>925</v>
      </c>
      <c r="O1762" s="1">
        <v>4475</v>
      </c>
      <c r="Q1762" t="s">
        <v>33</v>
      </c>
      <c r="R1762" t="s">
        <v>34</v>
      </c>
      <c r="S1762" t="s">
        <v>35</v>
      </c>
      <c r="T1762" t="s">
        <v>35</v>
      </c>
      <c r="U1762" t="s">
        <v>34</v>
      </c>
      <c r="V1762" t="str">
        <f>""</f>
        <v/>
      </c>
      <c r="W1762">
        <v>20150624</v>
      </c>
      <c r="X1762" t="s">
        <v>365</v>
      </c>
      <c r="Y1762" t="s">
        <v>926</v>
      </c>
      <c r="Z1762" t="s">
        <v>926</v>
      </c>
      <c r="AA1762">
        <v>0</v>
      </c>
      <c r="AB1762" t="s">
        <v>142</v>
      </c>
      <c r="AC1762" t="s">
        <v>143</v>
      </c>
      <c r="AD1762" t="s">
        <v>40</v>
      </c>
      <c r="AE1762" t="str">
        <f t="shared" si="543"/>
        <v>06</v>
      </c>
      <c r="AF1762" t="s">
        <v>40</v>
      </c>
    </row>
    <row r="1763" spans="1:32" x14ac:dyDescent="0.25">
      <c r="A1763">
        <v>5</v>
      </c>
      <c r="B1763">
        <v>420</v>
      </c>
      <c r="C1763" t="str">
        <f>"11"</f>
        <v>11</v>
      </c>
      <c r="D1763">
        <v>6399</v>
      </c>
      <c r="E1763" t="str">
        <f t="shared" si="540"/>
        <v>00</v>
      </c>
      <c r="F1763" t="str">
        <f>"001"</f>
        <v>001</v>
      </c>
      <c r="G1763">
        <v>5</v>
      </c>
      <c r="H1763" t="str">
        <f>"11"</f>
        <v>11</v>
      </c>
      <c r="I1763" t="str">
        <f t="shared" si="537"/>
        <v>0</v>
      </c>
      <c r="J1763" t="str">
        <f t="shared" si="538"/>
        <v>00</v>
      </c>
      <c r="K1763">
        <v>20150630</v>
      </c>
      <c r="L1763" t="str">
        <f>"015071"</f>
        <v>015071</v>
      </c>
      <c r="M1763" t="str">
        <f>"00701"</f>
        <v>00701</v>
      </c>
      <c r="N1763" t="s">
        <v>120</v>
      </c>
      <c r="O1763">
        <v>11.79</v>
      </c>
      <c r="Q1763" t="s">
        <v>33</v>
      </c>
      <c r="R1763" t="s">
        <v>34</v>
      </c>
      <c r="S1763" t="s">
        <v>35</v>
      </c>
      <c r="T1763" t="s">
        <v>35</v>
      </c>
      <c r="U1763" t="s">
        <v>34</v>
      </c>
      <c r="V1763" t="str">
        <f>""</f>
        <v/>
      </c>
      <c r="W1763">
        <v>20150629</v>
      </c>
      <c r="X1763" t="s">
        <v>239</v>
      </c>
      <c r="Y1763" t="s">
        <v>927</v>
      </c>
      <c r="Z1763" t="s">
        <v>927</v>
      </c>
      <c r="AA1763">
        <v>0</v>
      </c>
      <c r="AB1763" t="s">
        <v>142</v>
      </c>
      <c r="AC1763" t="s">
        <v>41</v>
      </c>
      <c r="AD1763" t="s">
        <v>40</v>
      </c>
      <c r="AE1763" t="str">
        <f t="shared" si="543"/>
        <v>06</v>
      </c>
      <c r="AF1763" t="s">
        <v>40</v>
      </c>
    </row>
    <row r="1764" spans="1:32" x14ac:dyDescent="0.25">
      <c r="A1764">
        <v>5</v>
      </c>
      <c r="B1764">
        <v>420</v>
      </c>
      <c r="C1764" t="str">
        <f>"11"</f>
        <v>11</v>
      </c>
      <c r="D1764">
        <v>6399</v>
      </c>
      <c r="E1764" t="str">
        <f t="shared" si="540"/>
        <v>00</v>
      </c>
      <c r="F1764" t="str">
        <f>"041"</f>
        <v>041</v>
      </c>
      <c r="G1764">
        <v>5</v>
      </c>
      <c r="H1764" t="str">
        <f>"11"</f>
        <v>11</v>
      </c>
      <c r="I1764" t="str">
        <f t="shared" si="537"/>
        <v>0</v>
      </c>
      <c r="J1764" t="str">
        <f t="shared" si="538"/>
        <v>00</v>
      </c>
      <c r="K1764">
        <v>20150630</v>
      </c>
      <c r="L1764" t="str">
        <f>"015071"</f>
        <v>015071</v>
      </c>
      <c r="M1764" t="str">
        <f>"00701"</f>
        <v>00701</v>
      </c>
      <c r="N1764" t="s">
        <v>120</v>
      </c>
      <c r="O1764">
        <v>11.79</v>
      </c>
      <c r="Q1764" t="s">
        <v>33</v>
      </c>
      <c r="R1764" t="s">
        <v>34</v>
      </c>
      <c r="S1764" t="s">
        <v>35</v>
      </c>
      <c r="T1764" t="s">
        <v>35</v>
      </c>
      <c r="U1764" t="s">
        <v>34</v>
      </c>
      <c r="V1764" t="str">
        <f>""</f>
        <v/>
      </c>
      <c r="W1764">
        <v>20150629</v>
      </c>
      <c r="X1764" t="s">
        <v>241</v>
      </c>
      <c r="Y1764" t="s">
        <v>927</v>
      </c>
      <c r="Z1764" t="s">
        <v>927</v>
      </c>
      <c r="AA1764">
        <v>0</v>
      </c>
      <c r="AB1764" t="s">
        <v>142</v>
      </c>
      <c r="AC1764" t="s">
        <v>41</v>
      </c>
      <c r="AD1764" t="s">
        <v>40</v>
      </c>
      <c r="AE1764" t="str">
        <f t="shared" si="543"/>
        <v>06</v>
      </c>
      <c r="AF1764" t="s">
        <v>40</v>
      </c>
    </row>
    <row r="1765" spans="1:32" x14ac:dyDescent="0.25">
      <c r="A1765">
        <v>5</v>
      </c>
      <c r="B1765">
        <v>420</v>
      </c>
      <c r="C1765" t="str">
        <f>"11"</f>
        <v>11</v>
      </c>
      <c r="D1765">
        <v>6399</v>
      </c>
      <c r="E1765" t="str">
        <f t="shared" si="540"/>
        <v>00</v>
      </c>
      <c r="F1765" t="str">
        <f>"101"</f>
        <v>101</v>
      </c>
      <c r="G1765">
        <v>5</v>
      </c>
      <c r="H1765" t="str">
        <f>"11"</f>
        <v>11</v>
      </c>
      <c r="I1765" t="str">
        <f t="shared" si="537"/>
        <v>0</v>
      </c>
      <c r="J1765" t="str">
        <f t="shared" si="538"/>
        <v>00</v>
      </c>
      <c r="K1765">
        <v>20150630</v>
      </c>
      <c r="L1765" t="str">
        <f>"015071"</f>
        <v>015071</v>
      </c>
      <c r="M1765" t="str">
        <f>"00701"</f>
        <v>00701</v>
      </c>
      <c r="N1765" t="s">
        <v>120</v>
      </c>
      <c r="O1765">
        <v>50.12</v>
      </c>
      <c r="Q1765" t="s">
        <v>33</v>
      </c>
      <c r="R1765" t="s">
        <v>34</v>
      </c>
      <c r="S1765" t="s">
        <v>35</v>
      </c>
      <c r="T1765" t="s">
        <v>35</v>
      </c>
      <c r="U1765" t="s">
        <v>34</v>
      </c>
      <c r="V1765" t="str">
        <f>""</f>
        <v/>
      </c>
      <c r="W1765">
        <v>20150629</v>
      </c>
      <c r="X1765" t="s">
        <v>246</v>
      </c>
      <c r="Y1765" t="s">
        <v>927</v>
      </c>
      <c r="Z1765" t="s">
        <v>927</v>
      </c>
      <c r="AA1765">
        <v>0</v>
      </c>
      <c r="AB1765" t="s">
        <v>142</v>
      </c>
      <c r="AC1765" t="s">
        <v>41</v>
      </c>
      <c r="AD1765" t="s">
        <v>40</v>
      </c>
      <c r="AE1765" t="str">
        <f t="shared" si="543"/>
        <v>06</v>
      </c>
      <c r="AF1765" t="s">
        <v>40</v>
      </c>
    </row>
    <row r="1766" spans="1:32" x14ac:dyDescent="0.25">
      <c r="A1766">
        <v>5</v>
      </c>
      <c r="B1766">
        <v>240</v>
      </c>
      <c r="C1766" t="str">
        <f>"35"</f>
        <v>35</v>
      </c>
      <c r="D1766">
        <v>6299</v>
      </c>
      <c r="E1766" t="str">
        <f t="shared" si="540"/>
        <v>00</v>
      </c>
      <c r="F1766" t="str">
        <f t="shared" ref="F1766:F1776" si="545">"999"</f>
        <v>999</v>
      </c>
      <c r="G1766">
        <v>5</v>
      </c>
      <c r="H1766" t="str">
        <f t="shared" ref="H1766:H1776" si="546">"99"</f>
        <v>99</v>
      </c>
      <c r="I1766" t="str">
        <f t="shared" si="537"/>
        <v>0</v>
      </c>
      <c r="J1766" t="str">
        <f t="shared" si="538"/>
        <v>00</v>
      </c>
      <c r="K1766">
        <v>20150630</v>
      </c>
      <c r="L1766" t="str">
        <f t="shared" ref="L1766:L1771" si="547">"015072"</f>
        <v>015072</v>
      </c>
      <c r="M1766" t="str">
        <f t="shared" ref="M1766:M1771" si="548">"00577"</f>
        <v>00577</v>
      </c>
      <c r="N1766" t="s">
        <v>251</v>
      </c>
      <c r="O1766">
        <v>25.63</v>
      </c>
      <c r="Q1766" t="s">
        <v>33</v>
      </c>
      <c r="R1766" t="s">
        <v>34</v>
      </c>
      <c r="S1766" t="s">
        <v>35</v>
      </c>
      <c r="T1766" t="s">
        <v>35</v>
      </c>
      <c r="U1766" t="s">
        <v>34</v>
      </c>
      <c r="V1766" t="str">
        <f>""</f>
        <v/>
      </c>
      <c r="W1766">
        <v>20150630</v>
      </c>
      <c r="X1766" t="s">
        <v>252</v>
      </c>
      <c r="Y1766" t="s">
        <v>253</v>
      </c>
      <c r="Z1766" t="s">
        <v>253</v>
      </c>
      <c r="AA1766">
        <v>0</v>
      </c>
      <c r="AB1766" t="s">
        <v>238</v>
      </c>
      <c r="AC1766" t="s">
        <v>143</v>
      </c>
      <c r="AD1766" t="s">
        <v>40</v>
      </c>
      <c r="AE1766" t="str">
        <f t="shared" si="543"/>
        <v>06</v>
      </c>
      <c r="AF1766" t="s">
        <v>40</v>
      </c>
    </row>
    <row r="1767" spans="1:32" x14ac:dyDescent="0.25">
      <c r="A1767">
        <v>5</v>
      </c>
      <c r="B1767">
        <v>240</v>
      </c>
      <c r="C1767" t="str">
        <f>"35"</f>
        <v>35</v>
      </c>
      <c r="D1767">
        <v>6299</v>
      </c>
      <c r="E1767" t="str">
        <f t="shared" si="540"/>
        <v>00</v>
      </c>
      <c r="F1767" t="str">
        <f t="shared" si="545"/>
        <v>999</v>
      </c>
      <c r="G1767">
        <v>5</v>
      </c>
      <c r="H1767" t="str">
        <f t="shared" si="546"/>
        <v>99</v>
      </c>
      <c r="I1767" t="str">
        <f t="shared" si="537"/>
        <v>0</v>
      </c>
      <c r="J1767" t="str">
        <f t="shared" si="538"/>
        <v>00</v>
      </c>
      <c r="K1767">
        <v>20150630</v>
      </c>
      <c r="L1767" t="str">
        <f t="shared" si="547"/>
        <v>015072</v>
      </c>
      <c r="M1767" t="str">
        <f t="shared" si="548"/>
        <v>00577</v>
      </c>
      <c r="N1767" t="s">
        <v>251</v>
      </c>
      <c r="O1767">
        <v>25.63</v>
      </c>
      <c r="Q1767" t="s">
        <v>33</v>
      </c>
      <c r="R1767" t="s">
        <v>34</v>
      </c>
      <c r="S1767" t="s">
        <v>35</v>
      </c>
      <c r="T1767" t="s">
        <v>35</v>
      </c>
      <c r="U1767" t="s">
        <v>34</v>
      </c>
      <c r="V1767" t="str">
        <f>""</f>
        <v/>
      </c>
      <c r="W1767">
        <v>20150630</v>
      </c>
      <c r="X1767" t="s">
        <v>252</v>
      </c>
      <c r="Y1767" t="s">
        <v>253</v>
      </c>
      <c r="Z1767" t="s">
        <v>253</v>
      </c>
      <c r="AA1767">
        <v>0</v>
      </c>
      <c r="AB1767" t="s">
        <v>238</v>
      </c>
      <c r="AC1767" t="s">
        <v>143</v>
      </c>
      <c r="AD1767" t="s">
        <v>40</v>
      </c>
      <c r="AE1767" t="str">
        <f t="shared" si="543"/>
        <v>06</v>
      </c>
      <c r="AF1767" t="s">
        <v>40</v>
      </c>
    </row>
    <row r="1768" spans="1:32" x14ac:dyDescent="0.25">
      <c r="A1768">
        <v>5</v>
      </c>
      <c r="B1768">
        <v>240</v>
      </c>
      <c r="C1768" t="str">
        <f>"35"</f>
        <v>35</v>
      </c>
      <c r="D1768">
        <v>6299</v>
      </c>
      <c r="E1768" t="str">
        <f t="shared" si="540"/>
        <v>00</v>
      </c>
      <c r="F1768" t="str">
        <f t="shared" si="545"/>
        <v>999</v>
      </c>
      <c r="G1768">
        <v>5</v>
      </c>
      <c r="H1768" t="str">
        <f t="shared" si="546"/>
        <v>99</v>
      </c>
      <c r="I1768" t="str">
        <f t="shared" si="537"/>
        <v>0</v>
      </c>
      <c r="J1768" t="str">
        <f t="shared" si="538"/>
        <v>00</v>
      </c>
      <c r="K1768">
        <v>20150630</v>
      </c>
      <c r="L1768" t="str">
        <f t="shared" si="547"/>
        <v>015072</v>
      </c>
      <c r="M1768" t="str">
        <f t="shared" si="548"/>
        <v>00577</v>
      </c>
      <c r="N1768" t="s">
        <v>251</v>
      </c>
      <c r="O1768">
        <v>25.63</v>
      </c>
      <c r="Q1768" t="s">
        <v>33</v>
      </c>
      <c r="R1768" t="s">
        <v>34</v>
      </c>
      <c r="S1768" t="s">
        <v>35</v>
      </c>
      <c r="T1768" t="s">
        <v>35</v>
      </c>
      <c r="U1768" t="s">
        <v>34</v>
      </c>
      <c r="V1768" t="str">
        <f>""</f>
        <v/>
      </c>
      <c r="W1768">
        <v>20150630</v>
      </c>
      <c r="X1768" t="s">
        <v>252</v>
      </c>
      <c r="Y1768" t="s">
        <v>253</v>
      </c>
      <c r="Z1768" t="s">
        <v>253</v>
      </c>
      <c r="AA1768">
        <v>0</v>
      </c>
      <c r="AB1768" t="s">
        <v>238</v>
      </c>
      <c r="AC1768" t="s">
        <v>143</v>
      </c>
      <c r="AD1768" t="s">
        <v>40</v>
      </c>
      <c r="AE1768" t="str">
        <f t="shared" si="543"/>
        <v>06</v>
      </c>
      <c r="AF1768" t="s">
        <v>40</v>
      </c>
    </row>
    <row r="1769" spans="1:32" x14ac:dyDescent="0.25">
      <c r="A1769">
        <v>5</v>
      </c>
      <c r="B1769">
        <v>420</v>
      </c>
      <c r="C1769" t="str">
        <f>"51"</f>
        <v>51</v>
      </c>
      <c r="D1769">
        <v>6299</v>
      </c>
      <c r="E1769" t="str">
        <f t="shared" si="540"/>
        <v>00</v>
      </c>
      <c r="F1769" t="str">
        <f t="shared" si="545"/>
        <v>999</v>
      </c>
      <c r="G1769">
        <v>5</v>
      </c>
      <c r="H1769" t="str">
        <f t="shared" si="546"/>
        <v>99</v>
      </c>
      <c r="I1769" t="str">
        <f t="shared" si="537"/>
        <v>0</v>
      </c>
      <c r="J1769" t="str">
        <f t="shared" si="538"/>
        <v>00</v>
      </c>
      <c r="K1769">
        <v>20150630</v>
      </c>
      <c r="L1769" t="str">
        <f t="shared" si="547"/>
        <v>015072</v>
      </c>
      <c r="M1769" t="str">
        <f t="shared" si="548"/>
        <v>00577</v>
      </c>
      <c r="N1769" t="s">
        <v>251</v>
      </c>
      <c r="O1769">
        <v>63.72</v>
      </c>
      <c r="Q1769" t="s">
        <v>33</v>
      </c>
      <c r="R1769" t="s">
        <v>34</v>
      </c>
      <c r="S1769" t="s">
        <v>35</v>
      </c>
      <c r="T1769" t="s">
        <v>35</v>
      </c>
      <c r="U1769" t="s">
        <v>34</v>
      </c>
      <c r="V1769" t="str">
        <f>""</f>
        <v/>
      </c>
      <c r="W1769">
        <v>20150630</v>
      </c>
      <c r="X1769" t="s">
        <v>203</v>
      </c>
      <c r="Y1769" t="s">
        <v>253</v>
      </c>
      <c r="Z1769" t="s">
        <v>253</v>
      </c>
      <c r="AA1769">
        <v>0</v>
      </c>
      <c r="AB1769" t="s">
        <v>142</v>
      </c>
      <c r="AC1769" t="s">
        <v>143</v>
      </c>
      <c r="AD1769" t="s">
        <v>40</v>
      </c>
      <c r="AE1769" t="str">
        <f t="shared" si="543"/>
        <v>06</v>
      </c>
      <c r="AF1769" t="s">
        <v>40</v>
      </c>
    </row>
    <row r="1770" spans="1:32" x14ac:dyDescent="0.25">
      <c r="A1770">
        <v>5</v>
      </c>
      <c r="B1770">
        <v>420</v>
      </c>
      <c r="C1770" t="str">
        <f>"51"</f>
        <v>51</v>
      </c>
      <c r="D1770">
        <v>6299</v>
      </c>
      <c r="E1770" t="str">
        <f t="shared" si="540"/>
        <v>00</v>
      </c>
      <c r="F1770" t="str">
        <f t="shared" si="545"/>
        <v>999</v>
      </c>
      <c r="G1770">
        <v>5</v>
      </c>
      <c r="H1770" t="str">
        <f t="shared" si="546"/>
        <v>99</v>
      </c>
      <c r="I1770" t="str">
        <f t="shared" si="537"/>
        <v>0</v>
      </c>
      <c r="J1770" t="str">
        <f t="shared" si="538"/>
        <v>00</v>
      </c>
      <c r="K1770">
        <v>20150630</v>
      </c>
      <c r="L1770" t="str">
        <f t="shared" si="547"/>
        <v>015072</v>
      </c>
      <c r="M1770" t="str">
        <f t="shared" si="548"/>
        <v>00577</v>
      </c>
      <c r="N1770" t="s">
        <v>251</v>
      </c>
      <c r="O1770">
        <v>63.72</v>
      </c>
      <c r="Q1770" t="s">
        <v>33</v>
      </c>
      <c r="R1770" t="s">
        <v>34</v>
      </c>
      <c r="S1770" t="s">
        <v>35</v>
      </c>
      <c r="T1770" t="s">
        <v>35</v>
      </c>
      <c r="U1770" t="s">
        <v>34</v>
      </c>
      <c r="V1770" t="str">
        <f>""</f>
        <v/>
      </c>
      <c r="W1770">
        <v>20150630</v>
      </c>
      <c r="X1770" t="s">
        <v>203</v>
      </c>
      <c r="Y1770" t="s">
        <v>253</v>
      </c>
      <c r="Z1770" t="s">
        <v>253</v>
      </c>
      <c r="AA1770">
        <v>0</v>
      </c>
      <c r="AB1770" t="s">
        <v>142</v>
      </c>
      <c r="AC1770" t="s">
        <v>143</v>
      </c>
      <c r="AD1770" t="s">
        <v>40</v>
      </c>
      <c r="AE1770" t="str">
        <f t="shared" si="543"/>
        <v>06</v>
      </c>
      <c r="AF1770" t="s">
        <v>40</v>
      </c>
    </row>
    <row r="1771" spans="1:32" x14ac:dyDescent="0.25">
      <c r="A1771">
        <v>5</v>
      </c>
      <c r="B1771">
        <v>420</v>
      </c>
      <c r="C1771" t="str">
        <f>"51"</f>
        <v>51</v>
      </c>
      <c r="D1771">
        <v>6299</v>
      </c>
      <c r="E1771" t="str">
        <f t="shared" si="540"/>
        <v>00</v>
      </c>
      <c r="F1771" t="str">
        <f t="shared" si="545"/>
        <v>999</v>
      </c>
      <c r="G1771">
        <v>5</v>
      </c>
      <c r="H1771" t="str">
        <f t="shared" si="546"/>
        <v>99</v>
      </c>
      <c r="I1771" t="str">
        <f t="shared" si="537"/>
        <v>0</v>
      </c>
      <c r="J1771" t="str">
        <f t="shared" si="538"/>
        <v>00</v>
      </c>
      <c r="K1771">
        <v>20150630</v>
      </c>
      <c r="L1771" t="str">
        <f t="shared" si="547"/>
        <v>015072</v>
      </c>
      <c r="M1771" t="str">
        <f t="shared" si="548"/>
        <v>00577</v>
      </c>
      <c r="N1771" t="s">
        <v>251</v>
      </c>
      <c r="O1771">
        <v>63.72</v>
      </c>
      <c r="Q1771" t="s">
        <v>33</v>
      </c>
      <c r="R1771" t="s">
        <v>34</v>
      </c>
      <c r="S1771" t="s">
        <v>35</v>
      </c>
      <c r="T1771" t="s">
        <v>35</v>
      </c>
      <c r="U1771" t="s">
        <v>34</v>
      </c>
      <c r="V1771" t="str">
        <f>""</f>
        <v/>
      </c>
      <c r="W1771">
        <v>20150630</v>
      </c>
      <c r="X1771" t="s">
        <v>203</v>
      </c>
      <c r="Y1771" t="s">
        <v>253</v>
      </c>
      <c r="Z1771" t="s">
        <v>253</v>
      </c>
      <c r="AA1771">
        <v>0</v>
      </c>
      <c r="AB1771" t="s">
        <v>142</v>
      </c>
      <c r="AC1771" t="s">
        <v>143</v>
      </c>
      <c r="AD1771" t="s">
        <v>40</v>
      </c>
      <c r="AE1771" t="str">
        <f t="shared" si="543"/>
        <v>06</v>
      </c>
      <c r="AF1771" t="s">
        <v>40</v>
      </c>
    </row>
    <row r="1772" spans="1:32" x14ac:dyDescent="0.25">
      <c r="A1772">
        <v>5</v>
      </c>
      <c r="B1772">
        <v>420</v>
      </c>
      <c r="C1772" t="str">
        <f>"34"</f>
        <v>34</v>
      </c>
      <c r="D1772">
        <v>6513</v>
      </c>
      <c r="E1772" t="str">
        <f t="shared" si="540"/>
        <v>00</v>
      </c>
      <c r="F1772" t="str">
        <f t="shared" si="545"/>
        <v>999</v>
      </c>
      <c r="G1772">
        <v>5</v>
      </c>
      <c r="H1772" t="str">
        <f t="shared" si="546"/>
        <v>99</v>
      </c>
      <c r="I1772" t="str">
        <f t="shared" si="537"/>
        <v>0</v>
      </c>
      <c r="J1772" t="str">
        <f t="shared" si="538"/>
        <v>00</v>
      </c>
      <c r="K1772">
        <v>20150630</v>
      </c>
      <c r="L1772" t="str">
        <f>"015073"</f>
        <v>015073</v>
      </c>
      <c r="M1772" t="str">
        <f>"00520"</f>
        <v>00520</v>
      </c>
      <c r="N1772" t="s">
        <v>329</v>
      </c>
      <c r="O1772" s="1">
        <v>1384.64</v>
      </c>
      <c r="Q1772" t="s">
        <v>33</v>
      </c>
      <c r="R1772" t="s">
        <v>34</v>
      </c>
      <c r="S1772" t="s">
        <v>35</v>
      </c>
      <c r="T1772" t="s">
        <v>35</v>
      </c>
      <c r="U1772" t="s">
        <v>34</v>
      </c>
      <c r="V1772" t="str">
        <f>""</f>
        <v/>
      </c>
      <c r="W1772">
        <v>20150630</v>
      </c>
      <c r="X1772" t="s">
        <v>330</v>
      </c>
      <c r="Y1772" t="s">
        <v>571</v>
      </c>
      <c r="Z1772" t="s">
        <v>571</v>
      </c>
      <c r="AA1772">
        <v>0</v>
      </c>
      <c r="AB1772" t="s">
        <v>142</v>
      </c>
      <c r="AC1772" t="s">
        <v>143</v>
      </c>
      <c r="AD1772" t="s">
        <v>40</v>
      </c>
      <c r="AE1772" t="str">
        <f t="shared" si="543"/>
        <v>06</v>
      </c>
      <c r="AF1772" t="s">
        <v>40</v>
      </c>
    </row>
    <row r="1773" spans="1:32" x14ac:dyDescent="0.25">
      <c r="A1773">
        <v>5</v>
      </c>
      <c r="B1773">
        <v>420</v>
      </c>
      <c r="C1773" t="str">
        <f>"34"</f>
        <v>34</v>
      </c>
      <c r="D1773">
        <v>6523</v>
      </c>
      <c r="E1773" t="str">
        <f t="shared" si="540"/>
        <v>00</v>
      </c>
      <c r="F1773" t="str">
        <f t="shared" si="545"/>
        <v>999</v>
      </c>
      <c r="G1773">
        <v>5</v>
      </c>
      <c r="H1773" t="str">
        <f t="shared" si="546"/>
        <v>99</v>
      </c>
      <c r="I1773" t="str">
        <f t="shared" si="537"/>
        <v>0</v>
      </c>
      <c r="J1773" t="str">
        <f t="shared" si="538"/>
        <v>00</v>
      </c>
      <c r="K1773">
        <v>20150630</v>
      </c>
      <c r="L1773" t="str">
        <f>"015073"</f>
        <v>015073</v>
      </c>
      <c r="M1773" t="str">
        <f>"00520"</f>
        <v>00520</v>
      </c>
      <c r="N1773" t="s">
        <v>329</v>
      </c>
      <c r="O1773">
        <v>330.75</v>
      </c>
      <c r="Q1773" t="s">
        <v>33</v>
      </c>
      <c r="R1773" t="s">
        <v>34</v>
      </c>
      <c r="S1773" t="s">
        <v>35</v>
      </c>
      <c r="T1773" t="s">
        <v>35</v>
      </c>
      <c r="U1773" t="s">
        <v>34</v>
      </c>
      <c r="V1773" t="str">
        <f>""</f>
        <v/>
      </c>
      <c r="W1773">
        <v>20150630</v>
      </c>
      <c r="X1773" t="s">
        <v>640</v>
      </c>
      <c r="Y1773" t="s">
        <v>571</v>
      </c>
      <c r="Z1773" t="s">
        <v>571</v>
      </c>
      <c r="AA1773">
        <v>0</v>
      </c>
      <c r="AB1773" t="s">
        <v>142</v>
      </c>
      <c r="AC1773" t="s">
        <v>143</v>
      </c>
      <c r="AD1773" t="s">
        <v>40</v>
      </c>
      <c r="AE1773" t="str">
        <f t="shared" si="543"/>
        <v>06</v>
      </c>
      <c r="AF1773" t="s">
        <v>40</v>
      </c>
    </row>
    <row r="1774" spans="1:32" x14ac:dyDescent="0.25">
      <c r="A1774">
        <v>5</v>
      </c>
      <c r="B1774">
        <v>420</v>
      </c>
      <c r="C1774" t="str">
        <f>"51"</f>
        <v>51</v>
      </c>
      <c r="D1774">
        <v>6259</v>
      </c>
      <c r="E1774" t="str">
        <f>"54"</f>
        <v>54</v>
      </c>
      <c r="F1774" t="str">
        <f t="shared" si="545"/>
        <v>999</v>
      </c>
      <c r="G1774">
        <v>5</v>
      </c>
      <c r="H1774" t="str">
        <f t="shared" si="546"/>
        <v>99</v>
      </c>
      <c r="I1774" t="str">
        <f t="shared" si="537"/>
        <v>0</v>
      </c>
      <c r="J1774" t="str">
        <f t="shared" si="538"/>
        <v>00</v>
      </c>
      <c r="K1774">
        <v>20150708</v>
      </c>
      <c r="L1774" t="str">
        <f>"015074"</f>
        <v>015074</v>
      </c>
      <c r="M1774" t="str">
        <f>"00030"</f>
        <v>00030</v>
      </c>
      <c r="N1774" t="s">
        <v>215</v>
      </c>
      <c r="O1774">
        <v>302.58999999999997</v>
      </c>
      <c r="Q1774" t="s">
        <v>33</v>
      </c>
      <c r="R1774" t="s">
        <v>34</v>
      </c>
      <c r="S1774" t="s">
        <v>35</v>
      </c>
      <c r="T1774" t="s">
        <v>35</v>
      </c>
      <c r="U1774" t="s">
        <v>34</v>
      </c>
      <c r="V1774" t="str">
        <f>""</f>
        <v/>
      </c>
      <c r="W1774">
        <v>20150708</v>
      </c>
      <c r="X1774" t="s">
        <v>216</v>
      </c>
      <c r="Y1774" t="s">
        <v>217</v>
      </c>
      <c r="Z1774" t="s">
        <v>217</v>
      </c>
      <c r="AA1774">
        <v>0</v>
      </c>
      <c r="AB1774" t="s">
        <v>142</v>
      </c>
      <c r="AC1774" t="s">
        <v>143</v>
      </c>
      <c r="AD1774" t="s">
        <v>40</v>
      </c>
      <c r="AE1774" t="str">
        <f t="shared" ref="AE1774:AE1805" si="549">"07"</f>
        <v>07</v>
      </c>
      <c r="AF1774" t="s">
        <v>40</v>
      </c>
    </row>
    <row r="1775" spans="1:32" x14ac:dyDescent="0.25">
      <c r="A1775">
        <v>5</v>
      </c>
      <c r="B1775">
        <v>420</v>
      </c>
      <c r="C1775" t="str">
        <f>"51"</f>
        <v>51</v>
      </c>
      <c r="D1775">
        <v>6269</v>
      </c>
      <c r="E1775" t="str">
        <f t="shared" ref="E1775:E1784" si="550">"00"</f>
        <v>00</v>
      </c>
      <c r="F1775" t="str">
        <f t="shared" si="545"/>
        <v>999</v>
      </c>
      <c r="G1775">
        <v>5</v>
      </c>
      <c r="H1775" t="str">
        <f t="shared" si="546"/>
        <v>99</v>
      </c>
      <c r="I1775" t="str">
        <f t="shared" si="537"/>
        <v>0</v>
      </c>
      <c r="J1775" t="str">
        <f t="shared" si="538"/>
        <v>00</v>
      </c>
      <c r="K1775">
        <v>20150708</v>
      </c>
      <c r="L1775" t="str">
        <f>"015075"</f>
        <v>015075</v>
      </c>
      <c r="M1775" t="str">
        <f>"00035"</f>
        <v>00035</v>
      </c>
      <c r="N1775" t="s">
        <v>698</v>
      </c>
      <c r="O1775">
        <v>301.52</v>
      </c>
      <c r="Q1775" t="s">
        <v>33</v>
      </c>
      <c r="R1775" t="s">
        <v>34</v>
      </c>
      <c r="S1775" t="s">
        <v>35</v>
      </c>
      <c r="T1775" t="s">
        <v>35</v>
      </c>
      <c r="U1775" t="s">
        <v>34</v>
      </c>
      <c r="V1775" t="str">
        <f>""</f>
        <v/>
      </c>
      <c r="W1775">
        <v>20150708</v>
      </c>
      <c r="X1775" t="s">
        <v>225</v>
      </c>
      <c r="Y1775" t="s">
        <v>928</v>
      </c>
      <c r="Z1775" t="s">
        <v>928</v>
      </c>
      <c r="AA1775">
        <v>0</v>
      </c>
      <c r="AB1775" t="s">
        <v>142</v>
      </c>
      <c r="AC1775" t="s">
        <v>143</v>
      </c>
      <c r="AD1775" t="s">
        <v>40</v>
      </c>
      <c r="AE1775" t="str">
        <f t="shared" si="549"/>
        <v>07</v>
      </c>
      <c r="AF1775" t="s">
        <v>40</v>
      </c>
    </row>
    <row r="1776" spans="1:32" x14ac:dyDescent="0.25">
      <c r="A1776">
        <v>5</v>
      </c>
      <c r="B1776">
        <v>420</v>
      </c>
      <c r="C1776" t="str">
        <f>"52"</f>
        <v>52</v>
      </c>
      <c r="D1776">
        <v>6219</v>
      </c>
      <c r="E1776" t="str">
        <f t="shared" si="550"/>
        <v>00</v>
      </c>
      <c r="F1776" t="str">
        <f t="shared" si="545"/>
        <v>999</v>
      </c>
      <c r="G1776">
        <v>5</v>
      </c>
      <c r="H1776" t="str">
        <f t="shared" si="546"/>
        <v>99</v>
      </c>
      <c r="I1776" t="str">
        <f t="shared" si="537"/>
        <v>0</v>
      </c>
      <c r="J1776" t="str">
        <f t="shared" si="538"/>
        <v>00</v>
      </c>
      <c r="K1776">
        <v>20150708</v>
      </c>
      <c r="L1776" t="str">
        <f>"015076"</f>
        <v>015076</v>
      </c>
      <c r="M1776" t="str">
        <f>"00392"</f>
        <v>00392</v>
      </c>
      <c r="N1776" t="s">
        <v>218</v>
      </c>
      <c r="O1776">
        <v>35.950000000000003</v>
      </c>
      <c r="Q1776" t="s">
        <v>33</v>
      </c>
      <c r="R1776" t="s">
        <v>34</v>
      </c>
      <c r="S1776" t="s">
        <v>35</v>
      </c>
      <c r="T1776" t="s">
        <v>35</v>
      </c>
      <c r="U1776" t="s">
        <v>34</v>
      </c>
      <c r="V1776" t="str">
        <f>""</f>
        <v/>
      </c>
      <c r="W1776">
        <v>20150708</v>
      </c>
      <c r="X1776" t="s">
        <v>208</v>
      </c>
      <c r="Y1776" t="s">
        <v>219</v>
      </c>
      <c r="Z1776" t="s">
        <v>219</v>
      </c>
      <c r="AA1776">
        <v>0</v>
      </c>
      <c r="AB1776" t="s">
        <v>142</v>
      </c>
      <c r="AC1776" t="s">
        <v>143</v>
      </c>
      <c r="AD1776" t="s">
        <v>40</v>
      </c>
      <c r="AE1776" t="str">
        <f t="shared" si="549"/>
        <v>07</v>
      </c>
      <c r="AF1776" t="s">
        <v>40</v>
      </c>
    </row>
    <row r="1777" spans="1:32" x14ac:dyDescent="0.25">
      <c r="A1777">
        <v>5</v>
      </c>
      <c r="B1777">
        <v>211</v>
      </c>
      <c r="C1777" t="str">
        <f>"11"</f>
        <v>11</v>
      </c>
      <c r="D1777">
        <v>6399</v>
      </c>
      <c r="E1777" t="str">
        <f t="shared" si="550"/>
        <v>00</v>
      </c>
      <c r="F1777" t="str">
        <f>"101"</f>
        <v>101</v>
      </c>
      <c r="G1777">
        <v>5</v>
      </c>
      <c r="H1777" t="str">
        <f>"30"</f>
        <v>30</v>
      </c>
      <c r="I1777" t="str">
        <f t="shared" si="537"/>
        <v>0</v>
      </c>
      <c r="J1777" t="str">
        <f t="shared" si="538"/>
        <v>00</v>
      </c>
      <c r="K1777">
        <v>20150708</v>
      </c>
      <c r="L1777" t="str">
        <f>"015077"</f>
        <v>015077</v>
      </c>
      <c r="M1777" t="str">
        <f>"00086"</f>
        <v>00086</v>
      </c>
      <c r="N1777" t="s">
        <v>689</v>
      </c>
      <c r="O1777">
        <v>172.03</v>
      </c>
      <c r="Q1777" t="s">
        <v>33</v>
      </c>
      <c r="R1777" t="s">
        <v>34</v>
      </c>
      <c r="S1777" t="s">
        <v>35</v>
      </c>
      <c r="T1777" t="s">
        <v>35</v>
      </c>
      <c r="U1777" t="s">
        <v>34</v>
      </c>
      <c r="V1777" t="str">
        <f>""</f>
        <v/>
      </c>
      <c r="W1777">
        <v>20150708</v>
      </c>
      <c r="X1777" t="s">
        <v>422</v>
      </c>
      <c r="Y1777" t="s">
        <v>929</v>
      </c>
      <c r="Z1777" t="s">
        <v>929</v>
      </c>
      <c r="AA1777">
        <v>0</v>
      </c>
      <c r="AB1777" t="s">
        <v>174</v>
      </c>
      <c r="AC1777" t="s">
        <v>41</v>
      </c>
      <c r="AD1777" t="s">
        <v>40</v>
      </c>
      <c r="AE1777" t="str">
        <f t="shared" si="549"/>
        <v>07</v>
      </c>
      <c r="AF1777" t="s">
        <v>40</v>
      </c>
    </row>
    <row r="1778" spans="1:32" x14ac:dyDescent="0.25">
      <c r="A1778">
        <v>5</v>
      </c>
      <c r="B1778">
        <v>211</v>
      </c>
      <c r="C1778" t="str">
        <f>"11"</f>
        <v>11</v>
      </c>
      <c r="D1778">
        <v>6399</v>
      </c>
      <c r="E1778" t="str">
        <f t="shared" si="550"/>
        <v>00</v>
      </c>
      <c r="F1778" t="str">
        <f>"101"</f>
        <v>101</v>
      </c>
      <c r="G1778">
        <v>5</v>
      </c>
      <c r="H1778" t="str">
        <f>"30"</f>
        <v>30</v>
      </c>
      <c r="I1778" t="str">
        <f t="shared" si="537"/>
        <v>0</v>
      </c>
      <c r="J1778" t="str">
        <f>"28"</f>
        <v>28</v>
      </c>
      <c r="K1778">
        <v>20150708</v>
      </c>
      <c r="L1778" t="str">
        <f>"015077"</f>
        <v>015077</v>
      </c>
      <c r="M1778" t="str">
        <f>"00086"</f>
        <v>00086</v>
      </c>
      <c r="N1778" t="s">
        <v>689</v>
      </c>
      <c r="O1778">
        <v>365.57</v>
      </c>
      <c r="Q1778" t="s">
        <v>33</v>
      </c>
      <c r="R1778" t="s">
        <v>34</v>
      </c>
      <c r="S1778" t="s">
        <v>35</v>
      </c>
      <c r="T1778" t="s">
        <v>35</v>
      </c>
      <c r="U1778" t="s">
        <v>34</v>
      </c>
      <c r="V1778" t="str">
        <f>""</f>
        <v/>
      </c>
      <c r="W1778">
        <v>20150708</v>
      </c>
      <c r="X1778" t="s">
        <v>690</v>
      </c>
      <c r="Y1778" t="s">
        <v>929</v>
      </c>
      <c r="Z1778" t="s">
        <v>929</v>
      </c>
      <c r="AA1778">
        <v>0</v>
      </c>
      <c r="AB1778" t="s">
        <v>174</v>
      </c>
      <c r="AC1778" t="s">
        <v>41</v>
      </c>
      <c r="AD1778" t="s">
        <v>40</v>
      </c>
      <c r="AE1778" t="str">
        <f t="shared" si="549"/>
        <v>07</v>
      </c>
      <c r="AF1778" t="s">
        <v>40</v>
      </c>
    </row>
    <row r="1779" spans="1:32" x14ac:dyDescent="0.25">
      <c r="A1779">
        <v>5</v>
      </c>
      <c r="B1779">
        <v>420</v>
      </c>
      <c r="C1779" t="str">
        <f>"51"</f>
        <v>51</v>
      </c>
      <c r="D1779">
        <v>6219</v>
      </c>
      <c r="E1779" t="str">
        <f t="shared" si="550"/>
        <v>00</v>
      </c>
      <c r="F1779" t="str">
        <f t="shared" ref="F1779:F1788" si="551">"999"</f>
        <v>999</v>
      </c>
      <c r="G1779">
        <v>5</v>
      </c>
      <c r="H1779" t="str">
        <f>"99"</f>
        <v>99</v>
      </c>
      <c r="I1779" t="str">
        <f t="shared" si="537"/>
        <v>0</v>
      </c>
      <c r="J1779" t="str">
        <f t="shared" ref="J1779:J1842" si="552">"00"</f>
        <v>00</v>
      </c>
      <c r="K1779">
        <v>20150708</v>
      </c>
      <c r="L1779" t="str">
        <f>"015078"</f>
        <v>015078</v>
      </c>
      <c r="M1779" t="str">
        <f>"00687"</f>
        <v>00687</v>
      </c>
      <c r="N1779" t="s">
        <v>337</v>
      </c>
      <c r="O1779">
        <v>105</v>
      </c>
      <c r="Q1779" t="s">
        <v>33</v>
      </c>
      <c r="R1779" t="s">
        <v>34</v>
      </c>
      <c r="S1779" t="s">
        <v>35</v>
      </c>
      <c r="T1779" t="s">
        <v>35</v>
      </c>
      <c r="U1779" t="s">
        <v>34</v>
      </c>
      <c r="V1779" t="str">
        <f>""</f>
        <v/>
      </c>
      <c r="W1779">
        <v>20150708</v>
      </c>
      <c r="X1779" t="s">
        <v>183</v>
      </c>
      <c r="Y1779" t="s">
        <v>930</v>
      </c>
      <c r="Z1779" t="s">
        <v>930</v>
      </c>
      <c r="AA1779">
        <v>0</v>
      </c>
      <c r="AB1779" t="s">
        <v>142</v>
      </c>
      <c r="AC1779" t="s">
        <v>143</v>
      </c>
      <c r="AD1779" t="s">
        <v>40</v>
      </c>
      <c r="AE1779" t="str">
        <f t="shared" si="549"/>
        <v>07</v>
      </c>
      <c r="AF1779" t="s">
        <v>40</v>
      </c>
    </row>
    <row r="1780" spans="1:32" x14ac:dyDescent="0.25">
      <c r="A1780">
        <v>5</v>
      </c>
      <c r="B1780">
        <v>420</v>
      </c>
      <c r="C1780" t="str">
        <f>"51"</f>
        <v>51</v>
      </c>
      <c r="D1780">
        <v>6219</v>
      </c>
      <c r="E1780" t="str">
        <f t="shared" si="550"/>
        <v>00</v>
      </c>
      <c r="F1780" t="str">
        <f t="shared" si="551"/>
        <v>999</v>
      </c>
      <c r="G1780">
        <v>5</v>
      </c>
      <c r="H1780" t="str">
        <f>"99"</f>
        <v>99</v>
      </c>
      <c r="I1780" t="str">
        <f t="shared" si="537"/>
        <v>0</v>
      </c>
      <c r="J1780" t="str">
        <f t="shared" si="552"/>
        <v>00</v>
      </c>
      <c r="K1780">
        <v>20150708</v>
      </c>
      <c r="L1780" t="str">
        <f>"015078"</f>
        <v>015078</v>
      </c>
      <c r="M1780" t="str">
        <f>"00687"</f>
        <v>00687</v>
      </c>
      <c r="N1780" t="s">
        <v>337</v>
      </c>
      <c r="O1780">
        <v>120</v>
      </c>
      <c r="Q1780" t="s">
        <v>33</v>
      </c>
      <c r="R1780" t="s">
        <v>34</v>
      </c>
      <c r="S1780" t="s">
        <v>35</v>
      </c>
      <c r="T1780" t="s">
        <v>35</v>
      </c>
      <c r="U1780" t="s">
        <v>34</v>
      </c>
      <c r="V1780" t="str">
        <f>""</f>
        <v/>
      </c>
      <c r="W1780">
        <v>20150708</v>
      </c>
      <c r="X1780" t="s">
        <v>183</v>
      </c>
      <c r="Y1780" t="s">
        <v>930</v>
      </c>
      <c r="Z1780" t="s">
        <v>930</v>
      </c>
      <c r="AA1780">
        <v>0</v>
      </c>
      <c r="AB1780" t="s">
        <v>142</v>
      </c>
      <c r="AC1780" t="s">
        <v>143</v>
      </c>
      <c r="AD1780" t="s">
        <v>40</v>
      </c>
      <c r="AE1780" t="str">
        <f t="shared" si="549"/>
        <v>07</v>
      </c>
      <c r="AF1780" t="s">
        <v>40</v>
      </c>
    </row>
    <row r="1781" spans="1:32" x14ac:dyDescent="0.25">
      <c r="A1781">
        <v>5</v>
      </c>
      <c r="B1781">
        <v>420</v>
      </c>
      <c r="C1781" t="str">
        <f>"51"</f>
        <v>51</v>
      </c>
      <c r="D1781">
        <v>6219</v>
      </c>
      <c r="E1781" t="str">
        <f t="shared" si="550"/>
        <v>00</v>
      </c>
      <c r="F1781" t="str">
        <f t="shared" si="551"/>
        <v>999</v>
      </c>
      <c r="G1781">
        <v>5</v>
      </c>
      <c r="H1781" t="str">
        <f>"99"</f>
        <v>99</v>
      </c>
      <c r="I1781" t="str">
        <f t="shared" si="537"/>
        <v>0</v>
      </c>
      <c r="J1781" t="str">
        <f t="shared" si="552"/>
        <v>00</v>
      </c>
      <c r="K1781">
        <v>20150708</v>
      </c>
      <c r="L1781" t="str">
        <f>"015078"</f>
        <v>015078</v>
      </c>
      <c r="M1781" t="str">
        <f>"00687"</f>
        <v>00687</v>
      </c>
      <c r="N1781" t="s">
        <v>337</v>
      </c>
      <c r="O1781">
        <v>105</v>
      </c>
      <c r="Q1781" t="s">
        <v>33</v>
      </c>
      <c r="R1781" t="s">
        <v>34</v>
      </c>
      <c r="S1781" t="s">
        <v>35</v>
      </c>
      <c r="T1781" t="s">
        <v>35</v>
      </c>
      <c r="U1781" t="s">
        <v>34</v>
      </c>
      <c r="V1781" t="str">
        <f>""</f>
        <v/>
      </c>
      <c r="W1781">
        <v>20150708</v>
      </c>
      <c r="X1781" t="s">
        <v>183</v>
      </c>
      <c r="Y1781" t="s">
        <v>930</v>
      </c>
      <c r="Z1781" t="s">
        <v>930</v>
      </c>
      <c r="AA1781">
        <v>0</v>
      </c>
      <c r="AB1781" t="s">
        <v>142</v>
      </c>
      <c r="AC1781" t="s">
        <v>143</v>
      </c>
      <c r="AD1781" t="s">
        <v>40</v>
      </c>
      <c r="AE1781" t="str">
        <f t="shared" si="549"/>
        <v>07</v>
      </c>
      <c r="AF1781" t="s">
        <v>40</v>
      </c>
    </row>
    <row r="1782" spans="1:32" x14ac:dyDescent="0.25">
      <c r="A1782">
        <v>5</v>
      </c>
      <c r="B1782">
        <v>420</v>
      </c>
      <c r="C1782" t="str">
        <f>"51"</f>
        <v>51</v>
      </c>
      <c r="D1782">
        <v>6219</v>
      </c>
      <c r="E1782" t="str">
        <f t="shared" si="550"/>
        <v>00</v>
      </c>
      <c r="F1782" t="str">
        <f t="shared" si="551"/>
        <v>999</v>
      </c>
      <c r="G1782">
        <v>5</v>
      </c>
      <c r="H1782" t="str">
        <f>"99"</f>
        <v>99</v>
      </c>
      <c r="I1782" t="str">
        <f t="shared" si="537"/>
        <v>0</v>
      </c>
      <c r="J1782" t="str">
        <f t="shared" si="552"/>
        <v>00</v>
      </c>
      <c r="K1782">
        <v>20150708</v>
      </c>
      <c r="L1782" t="str">
        <f>"015078"</f>
        <v>015078</v>
      </c>
      <c r="M1782" t="str">
        <f>"00687"</f>
        <v>00687</v>
      </c>
      <c r="N1782" t="s">
        <v>337</v>
      </c>
      <c r="O1782">
        <v>105</v>
      </c>
      <c r="Q1782" t="s">
        <v>33</v>
      </c>
      <c r="R1782" t="s">
        <v>34</v>
      </c>
      <c r="S1782" t="s">
        <v>35</v>
      </c>
      <c r="T1782" t="s">
        <v>35</v>
      </c>
      <c r="U1782" t="s">
        <v>34</v>
      </c>
      <c r="V1782" t="str">
        <f>""</f>
        <v/>
      </c>
      <c r="W1782">
        <v>20150708</v>
      </c>
      <c r="X1782" t="s">
        <v>183</v>
      </c>
      <c r="Y1782" t="s">
        <v>930</v>
      </c>
      <c r="Z1782" t="s">
        <v>930</v>
      </c>
      <c r="AA1782">
        <v>0</v>
      </c>
      <c r="AB1782" t="s">
        <v>142</v>
      </c>
      <c r="AC1782" t="s">
        <v>143</v>
      </c>
      <c r="AD1782" t="s">
        <v>40</v>
      </c>
      <c r="AE1782" t="str">
        <f t="shared" si="549"/>
        <v>07</v>
      </c>
      <c r="AF1782" t="s">
        <v>40</v>
      </c>
    </row>
    <row r="1783" spans="1:32" x14ac:dyDescent="0.25">
      <c r="A1783">
        <v>5</v>
      </c>
      <c r="B1783">
        <v>420</v>
      </c>
      <c r="C1783" t="str">
        <f>"11"</f>
        <v>11</v>
      </c>
      <c r="D1783">
        <v>6269</v>
      </c>
      <c r="E1783" t="str">
        <f t="shared" si="550"/>
        <v>00</v>
      </c>
      <c r="F1783" t="str">
        <f t="shared" si="551"/>
        <v>999</v>
      </c>
      <c r="G1783">
        <v>5</v>
      </c>
      <c r="H1783" t="str">
        <f>"11"</f>
        <v>11</v>
      </c>
      <c r="I1783" t="str">
        <f t="shared" si="537"/>
        <v>0</v>
      </c>
      <c r="J1783" t="str">
        <f t="shared" si="552"/>
        <v>00</v>
      </c>
      <c r="K1783">
        <v>20150708</v>
      </c>
      <c r="L1783" t="str">
        <f>"015079"</f>
        <v>015079</v>
      </c>
      <c r="M1783" t="str">
        <f>"00622"</f>
        <v>00622</v>
      </c>
      <c r="N1783" t="s">
        <v>318</v>
      </c>
      <c r="O1783">
        <v>204.4</v>
      </c>
      <c r="Q1783" t="s">
        <v>33</v>
      </c>
      <c r="R1783" t="s">
        <v>34</v>
      </c>
      <c r="S1783" t="s">
        <v>35</v>
      </c>
      <c r="T1783" t="s">
        <v>35</v>
      </c>
      <c r="U1783" t="s">
        <v>34</v>
      </c>
      <c r="V1783" t="str">
        <f>""</f>
        <v/>
      </c>
      <c r="W1783">
        <v>20150708</v>
      </c>
      <c r="X1783" t="s">
        <v>213</v>
      </c>
      <c r="Y1783" t="s">
        <v>319</v>
      </c>
      <c r="Z1783" t="s">
        <v>319</v>
      </c>
      <c r="AA1783">
        <v>0</v>
      </c>
      <c r="AB1783" t="s">
        <v>142</v>
      </c>
      <c r="AC1783" t="s">
        <v>143</v>
      </c>
      <c r="AD1783" t="s">
        <v>40</v>
      </c>
      <c r="AE1783" t="str">
        <f t="shared" si="549"/>
        <v>07</v>
      </c>
      <c r="AF1783" t="s">
        <v>40</v>
      </c>
    </row>
    <row r="1784" spans="1:32" x14ac:dyDescent="0.25">
      <c r="A1784">
        <v>5</v>
      </c>
      <c r="B1784">
        <v>420</v>
      </c>
      <c r="C1784" t="str">
        <f>"11"</f>
        <v>11</v>
      </c>
      <c r="D1784">
        <v>6219</v>
      </c>
      <c r="E1784" t="str">
        <f t="shared" si="550"/>
        <v>00</v>
      </c>
      <c r="F1784" t="str">
        <f t="shared" si="551"/>
        <v>999</v>
      </c>
      <c r="G1784">
        <v>5</v>
      </c>
      <c r="H1784" t="str">
        <f>"11"</f>
        <v>11</v>
      </c>
      <c r="I1784" t="str">
        <f t="shared" si="537"/>
        <v>0</v>
      </c>
      <c r="J1784" t="str">
        <f t="shared" si="552"/>
        <v>00</v>
      </c>
      <c r="K1784">
        <v>20150708</v>
      </c>
      <c r="L1784" t="str">
        <f>"015080"</f>
        <v>015080</v>
      </c>
      <c r="M1784" t="str">
        <f>"00881"</f>
        <v>00881</v>
      </c>
      <c r="N1784" t="s">
        <v>931</v>
      </c>
      <c r="O1784" s="1">
        <v>3450</v>
      </c>
      <c r="Q1784" t="s">
        <v>33</v>
      </c>
      <c r="R1784" t="s">
        <v>34</v>
      </c>
      <c r="S1784" t="s">
        <v>35</v>
      </c>
      <c r="T1784" t="s">
        <v>35</v>
      </c>
      <c r="U1784" t="s">
        <v>34</v>
      </c>
      <c r="V1784" t="str">
        <f>""</f>
        <v/>
      </c>
      <c r="W1784">
        <v>20150708</v>
      </c>
      <c r="X1784" t="s">
        <v>166</v>
      </c>
      <c r="Y1784" t="s">
        <v>932</v>
      </c>
      <c r="Z1784" t="s">
        <v>932</v>
      </c>
      <c r="AA1784">
        <v>0</v>
      </c>
      <c r="AB1784" t="s">
        <v>142</v>
      </c>
      <c r="AC1784" t="s">
        <v>143</v>
      </c>
      <c r="AD1784" t="s">
        <v>40</v>
      </c>
      <c r="AE1784" t="str">
        <f t="shared" si="549"/>
        <v>07</v>
      </c>
      <c r="AF1784" t="s">
        <v>40</v>
      </c>
    </row>
    <row r="1785" spans="1:32" x14ac:dyDescent="0.25">
      <c r="A1785">
        <v>5</v>
      </c>
      <c r="B1785">
        <v>420</v>
      </c>
      <c r="C1785" t="str">
        <f>"51"</f>
        <v>51</v>
      </c>
      <c r="D1785">
        <v>6259</v>
      </c>
      <c r="E1785" t="str">
        <f>"55"</f>
        <v>55</v>
      </c>
      <c r="F1785" t="str">
        <f t="shared" si="551"/>
        <v>999</v>
      </c>
      <c r="G1785">
        <v>5</v>
      </c>
      <c r="H1785" t="str">
        <f>"99"</f>
        <v>99</v>
      </c>
      <c r="I1785" t="str">
        <f t="shared" si="537"/>
        <v>0</v>
      </c>
      <c r="J1785" t="str">
        <f t="shared" si="552"/>
        <v>00</v>
      </c>
      <c r="K1785">
        <v>20150708</v>
      </c>
      <c r="L1785" t="str">
        <f>"015081"</f>
        <v>015081</v>
      </c>
      <c r="M1785" t="str">
        <f>"00306"</f>
        <v>00306</v>
      </c>
      <c r="N1785" t="s">
        <v>754</v>
      </c>
      <c r="O1785">
        <v>147.41999999999999</v>
      </c>
      <c r="Q1785" t="s">
        <v>33</v>
      </c>
      <c r="R1785" t="s">
        <v>34</v>
      </c>
      <c r="S1785" t="s">
        <v>35</v>
      </c>
      <c r="T1785" t="s">
        <v>35</v>
      </c>
      <c r="U1785" t="s">
        <v>34</v>
      </c>
      <c r="V1785" t="str">
        <f>""</f>
        <v/>
      </c>
      <c r="W1785">
        <v>20150708</v>
      </c>
      <c r="X1785" t="s">
        <v>243</v>
      </c>
      <c r="Y1785" t="s">
        <v>244</v>
      </c>
      <c r="Z1785" t="s">
        <v>244</v>
      </c>
      <c r="AA1785">
        <v>0</v>
      </c>
      <c r="AB1785" t="s">
        <v>142</v>
      </c>
      <c r="AC1785" t="s">
        <v>143</v>
      </c>
      <c r="AD1785" t="s">
        <v>40</v>
      </c>
      <c r="AE1785" t="str">
        <f t="shared" si="549"/>
        <v>07</v>
      </c>
      <c r="AF1785" t="s">
        <v>40</v>
      </c>
    </row>
    <row r="1786" spans="1:32" x14ac:dyDescent="0.25">
      <c r="A1786">
        <v>5</v>
      </c>
      <c r="B1786">
        <v>420</v>
      </c>
      <c r="C1786" t="str">
        <f>"51"</f>
        <v>51</v>
      </c>
      <c r="D1786">
        <v>6259</v>
      </c>
      <c r="E1786" t="str">
        <f>"55"</f>
        <v>55</v>
      </c>
      <c r="F1786" t="str">
        <f t="shared" si="551"/>
        <v>999</v>
      </c>
      <c r="G1786">
        <v>5</v>
      </c>
      <c r="H1786" t="str">
        <f>"99"</f>
        <v>99</v>
      </c>
      <c r="I1786" t="str">
        <f t="shared" si="537"/>
        <v>0</v>
      </c>
      <c r="J1786" t="str">
        <f t="shared" si="552"/>
        <v>00</v>
      </c>
      <c r="K1786">
        <v>20150708</v>
      </c>
      <c r="L1786" t="str">
        <f>"015081"</f>
        <v>015081</v>
      </c>
      <c r="M1786" t="str">
        <f>"00306"</f>
        <v>00306</v>
      </c>
      <c r="N1786" t="s">
        <v>754</v>
      </c>
      <c r="O1786">
        <v>50.83</v>
      </c>
      <c r="Q1786" t="s">
        <v>33</v>
      </c>
      <c r="R1786" t="s">
        <v>34</v>
      </c>
      <c r="S1786" t="s">
        <v>35</v>
      </c>
      <c r="T1786" t="s">
        <v>35</v>
      </c>
      <c r="U1786" t="s">
        <v>34</v>
      </c>
      <c r="V1786" t="str">
        <f>""</f>
        <v/>
      </c>
      <c r="W1786">
        <v>20150708</v>
      </c>
      <c r="X1786" t="s">
        <v>243</v>
      </c>
      <c r="Y1786" t="s">
        <v>244</v>
      </c>
      <c r="Z1786" t="s">
        <v>244</v>
      </c>
      <c r="AA1786">
        <v>0</v>
      </c>
      <c r="AB1786" t="s">
        <v>142</v>
      </c>
      <c r="AC1786" t="s">
        <v>143</v>
      </c>
      <c r="AD1786" t="s">
        <v>40</v>
      </c>
      <c r="AE1786" t="str">
        <f t="shared" si="549"/>
        <v>07</v>
      </c>
      <c r="AF1786" t="s">
        <v>40</v>
      </c>
    </row>
    <row r="1787" spans="1:32" x14ac:dyDescent="0.25">
      <c r="A1787">
        <v>5</v>
      </c>
      <c r="B1787">
        <v>420</v>
      </c>
      <c r="C1787" t="str">
        <f>"51"</f>
        <v>51</v>
      </c>
      <c r="D1787">
        <v>6259</v>
      </c>
      <c r="E1787" t="str">
        <f>"55"</f>
        <v>55</v>
      </c>
      <c r="F1787" t="str">
        <f t="shared" si="551"/>
        <v>999</v>
      </c>
      <c r="G1787">
        <v>5</v>
      </c>
      <c r="H1787" t="str">
        <f>"99"</f>
        <v>99</v>
      </c>
      <c r="I1787" t="str">
        <f t="shared" si="537"/>
        <v>0</v>
      </c>
      <c r="J1787" t="str">
        <f t="shared" si="552"/>
        <v>00</v>
      </c>
      <c r="K1787">
        <v>20150708</v>
      </c>
      <c r="L1787" t="str">
        <f>"015081"</f>
        <v>015081</v>
      </c>
      <c r="M1787" t="str">
        <f>"00306"</f>
        <v>00306</v>
      </c>
      <c r="N1787" t="s">
        <v>754</v>
      </c>
      <c r="O1787">
        <v>190.6</v>
      </c>
      <c r="Q1787" t="s">
        <v>33</v>
      </c>
      <c r="R1787" t="s">
        <v>34</v>
      </c>
      <c r="S1787" t="s">
        <v>35</v>
      </c>
      <c r="T1787" t="s">
        <v>35</v>
      </c>
      <c r="U1787" t="s">
        <v>34</v>
      </c>
      <c r="V1787" t="str">
        <f>""</f>
        <v/>
      </c>
      <c r="W1787">
        <v>20150708</v>
      </c>
      <c r="X1787" t="s">
        <v>243</v>
      </c>
      <c r="Y1787" t="s">
        <v>244</v>
      </c>
      <c r="Z1787" t="s">
        <v>244</v>
      </c>
      <c r="AA1787">
        <v>0</v>
      </c>
      <c r="AB1787" t="s">
        <v>142</v>
      </c>
      <c r="AC1787" t="s">
        <v>143</v>
      </c>
      <c r="AD1787" t="s">
        <v>40</v>
      </c>
      <c r="AE1787" t="str">
        <f t="shared" si="549"/>
        <v>07</v>
      </c>
      <c r="AF1787" t="s">
        <v>40</v>
      </c>
    </row>
    <row r="1788" spans="1:32" x14ac:dyDescent="0.25">
      <c r="A1788">
        <v>5</v>
      </c>
      <c r="B1788">
        <v>420</v>
      </c>
      <c r="C1788" t="str">
        <f>"11"</f>
        <v>11</v>
      </c>
      <c r="D1788">
        <v>6269</v>
      </c>
      <c r="E1788" t="str">
        <f>"00"</f>
        <v>00</v>
      </c>
      <c r="F1788" t="str">
        <f t="shared" si="551"/>
        <v>999</v>
      </c>
      <c r="G1788">
        <v>5</v>
      </c>
      <c r="H1788" t="str">
        <f>"11"</f>
        <v>11</v>
      </c>
      <c r="I1788" t="str">
        <f t="shared" si="537"/>
        <v>0</v>
      </c>
      <c r="J1788" t="str">
        <f t="shared" si="552"/>
        <v>00</v>
      </c>
      <c r="K1788">
        <v>20150716</v>
      </c>
      <c r="L1788" t="str">
        <f>"015083"</f>
        <v>015083</v>
      </c>
      <c r="M1788" t="str">
        <f>"00628"</f>
        <v>00628</v>
      </c>
      <c r="N1788" t="s">
        <v>212</v>
      </c>
      <c r="O1788">
        <v>423.62</v>
      </c>
      <c r="Q1788" t="s">
        <v>33</v>
      </c>
      <c r="R1788" t="s">
        <v>34</v>
      </c>
      <c r="S1788" t="s">
        <v>35</v>
      </c>
      <c r="T1788" t="s">
        <v>35</v>
      </c>
      <c r="U1788" t="s">
        <v>34</v>
      </c>
      <c r="V1788" t="str">
        <f>""</f>
        <v/>
      </c>
      <c r="W1788">
        <v>20150715</v>
      </c>
      <c r="X1788" t="s">
        <v>213</v>
      </c>
      <c r="Y1788" t="s">
        <v>231</v>
      </c>
      <c r="Z1788" t="s">
        <v>231</v>
      </c>
      <c r="AA1788">
        <v>0</v>
      </c>
      <c r="AB1788" t="s">
        <v>142</v>
      </c>
      <c r="AC1788" t="s">
        <v>143</v>
      </c>
      <c r="AD1788" t="s">
        <v>40</v>
      </c>
      <c r="AE1788" t="str">
        <f t="shared" si="549"/>
        <v>07</v>
      </c>
      <c r="AF1788" t="s">
        <v>40</v>
      </c>
    </row>
    <row r="1789" spans="1:32" x14ac:dyDescent="0.25">
      <c r="A1789">
        <v>5</v>
      </c>
      <c r="B1789">
        <v>420</v>
      </c>
      <c r="C1789" t="str">
        <f>"41"</f>
        <v>41</v>
      </c>
      <c r="D1789">
        <v>6219</v>
      </c>
      <c r="E1789" t="str">
        <f>"00"</f>
        <v>00</v>
      </c>
      <c r="F1789" t="str">
        <f>"750"</f>
        <v>750</v>
      </c>
      <c r="G1789">
        <v>5</v>
      </c>
      <c r="H1789" t="str">
        <f>"99"</f>
        <v>99</v>
      </c>
      <c r="I1789" t="str">
        <f t="shared" si="537"/>
        <v>0</v>
      </c>
      <c r="J1789" t="str">
        <f t="shared" si="552"/>
        <v>00</v>
      </c>
      <c r="K1789">
        <v>20150716</v>
      </c>
      <c r="L1789" t="str">
        <f>"015084"</f>
        <v>015084</v>
      </c>
      <c r="M1789" t="str">
        <f>"00507"</f>
        <v>00507</v>
      </c>
      <c r="N1789" t="s">
        <v>933</v>
      </c>
      <c r="O1789">
        <v>874.5</v>
      </c>
      <c r="Q1789" t="s">
        <v>33</v>
      </c>
      <c r="R1789" t="s">
        <v>34</v>
      </c>
      <c r="S1789" t="s">
        <v>35</v>
      </c>
      <c r="T1789" t="s">
        <v>35</v>
      </c>
      <c r="U1789" t="s">
        <v>34</v>
      </c>
      <c r="V1789" t="str">
        <f>""</f>
        <v/>
      </c>
      <c r="W1789">
        <v>20150716</v>
      </c>
      <c r="X1789" t="s">
        <v>255</v>
      </c>
      <c r="Y1789" t="s">
        <v>934</v>
      </c>
      <c r="Z1789" t="s">
        <v>934</v>
      </c>
      <c r="AA1789">
        <v>0</v>
      </c>
      <c r="AB1789" t="s">
        <v>142</v>
      </c>
      <c r="AC1789" t="s">
        <v>170</v>
      </c>
      <c r="AD1789" t="s">
        <v>40</v>
      </c>
      <c r="AE1789" t="str">
        <f t="shared" si="549"/>
        <v>07</v>
      </c>
      <c r="AF1789" t="s">
        <v>40</v>
      </c>
    </row>
    <row r="1790" spans="1:32" x14ac:dyDescent="0.25">
      <c r="A1790">
        <v>5</v>
      </c>
      <c r="B1790">
        <v>420</v>
      </c>
      <c r="C1790" t="str">
        <f>"51"</f>
        <v>51</v>
      </c>
      <c r="D1790">
        <v>6259</v>
      </c>
      <c r="E1790" t="str">
        <f>"55"</f>
        <v>55</v>
      </c>
      <c r="F1790" t="str">
        <f>"999"</f>
        <v>999</v>
      </c>
      <c r="G1790">
        <v>5</v>
      </c>
      <c r="H1790" t="str">
        <f>"99"</f>
        <v>99</v>
      </c>
      <c r="I1790" t="str">
        <f t="shared" si="537"/>
        <v>0</v>
      </c>
      <c r="J1790" t="str">
        <f t="shared" si="552"/>
        <v>00</v>
      </c>
      <c r="K1790">
        <v>20150716</v>
      </c>
      <c r="L1790" t="str">
        <f>"015086"</f>
        <v>015086</v>
      </c>
      <c r="M1790" t="str">
        <f>"00075"</f>
        <v>00075</v>
      </c>
      <c r="N1790" t="s">
        <v>649</v>
      </c>
      <c r="O1790">
        <v>20.7</v>
      </c>
      <c r="Q1790" t="s">
        <v>33</v>
      </c>
      <c r="R1790" t="s">
        <v>34</v>
      </c>
      <c r="S1790" t="s">
        <v>35</v>
      </c>
      <c r="T1790" t="s">
        <v>35</v>
      </c>
      <c r="U1790" t="s">
        <v>34</v>
      </c>
      <c r="V1790" t="str">
        <f>""</f>
        <v/>
      </c>
      <c r="W1790">
        <v>20150714</v>
      </c>
      <c r="X1790" t="s">
        <v>243</v>
      </c>
      <c r="Y1790" t="s">
        <v>244</v>
      </c>
      <c r="Z1790" t="s">
        <v>244</v>
      </c>
      <c r="AA1790">
        <v>0</v>
      </c>
      <c r="AB1790" t="s">
        <v>142</v>
      </c>
      <c r="AC1790" t="s">
        <v>143</v>
      </c>
      <c r="AD1790" t="s">
        <v>40</v>
      </c>
      <c r="AE1790" t="str">
        <f t="shared" si="549"/>
        <v>07</v>
      </c>
      <c r="AF1790" t="s">
        <v>40</v>
      </c>
    </row>
    <row r="1791" spans="1:32" x14ac:dyDescent="0.25">
      <c r="A1791">
        <v>5</v>
      </c>
      <c r="B1791">
        <v>420</v>
      </c>
      <c r="C1791" t="str">
        <f>"51"</f>
        <v>51</v>
      </c>
      <c r="D1791">
        <v>6259</v>
      </c>
      <c r="E1791" t="str">
        <f>"55"</f>
        <v>55</v>
      </c>
      <c r="F1791" t="str">
        <f>"999"</f>
        <v>999</v>
      </c>
      <c r="G1791">
        <v>5</v>
      </c>
      <c r="H1791" t="str">
        <f>"99"</f>
        <v>99</v>
      </c>
      <c r="I1791" t="str">
        <f t="shared" si="537"/>
        <v>0</v>
      </c>
      <c r="J1791" t="str">
        <f t="shared" si="552"/>
        <v>00</v>
      </c>
      <c r="K1791">
        <v>20150716</v>
      </c>
      <c r="L1791" t="str">
        <f>"015086"</f>
        <v>015086</v>
      </c>
      <c r="M1791" t="str">
        <f>"00075"</f>
        <v>00075</v>
      </c>
      <c r="N1791" t="s">
        <v>649</v>
      </c>
      <c r="O1791">
        <v>79.83</v>
      </c>
      <c r="Q1791" t="s">
        <v>33</v>
      </c>
      <c r="R1791" t="s">
        <v>34</v>
      </c>
      <c r="S1791" t="s">
        <v>35</v>
      </c>
      <c r="T1791" t="s">
        <v>35</v>
      </c>
      <c r="U1791" t="s">
        <v>34</v>
      </c>
      <c r="V1791" t="str">
        <f>""</f>
        <v/>
      </c>
      <c r="W1791">
        <v>20150714</v>
      </c>
      <c r="X1791" t="s">
        <v>243</v>
      </c>
      <c r="Y1791" t="s">
        <v>244</v>
      </c>
      <c r="Z1791" t="s">
        <v>244</v>
      </c>
      <c r="AA1791">
        <v>0</v>
      </c>
      <c r="AB1791" t="s">
        <v>142</v>
      </c>
      <c r="AC1791" t="s">
        <v>143</v>
      </c>
      <c r="AD1791" t="s">
        <v>40</v>
      </c>
      <c r="AE1791" t="str">
        <f t="shared" si="549"/>
        <v>07</v>
      </c>
      <c r="AF1791" t="s">
        <v>40</v>
      </c>
    </row>
    <row r="1792" spans="1:32" x14ac:dyDescent="0.25">
      <c r="A1792">
        <v>5</v>
      </c>
      <c r="B1792">
        <v>420</v>
      </c>
      <c r="C1792" t="str">
        <f>"52"</f>
        <v>52</v>
      </c>
      <c r="D1792">
        <v>6219</v>
      </c>
      <c r="E1792" t="str">
        <f t="shared" ref="E1792:E1802" si="553">"00"</f>
        <v>00</v>
      </c>
      <c r="F1792" t="str">
        <f>"999"</f>
        <v>999</v>
      </c>
      <c r="G1792">
        <v>5</v>
      </c>
      <c r="H1792" t="str">
        <f>"99"</f>
        <v>99</v>
      </c>
      <c r="I1792" t="str">
        <f t="shared" si="537"/>
        <v>0</v>
      </c>
      <c r="J1792" t="str">
        <f t="shared" si="552"/>
        <v>00</v>
      </c>
      <c r="K1792">
        <v>20150716</v>
      </c>
      <c r="L1792" t="str">
        <f>"015087"</f>
        <v>015087</v>
      </c>
      <c r="M1792" t="str">
        <f>"00687"</f>
        <v>00687</v>
      </c>
      <c r="N1792" t="s">
        <v>337</v>
      </c>
      <c r="O1792">
        <v>105</v>
      </c>
      <c r="Q1792" t="s">
        <v>33</v>
      </c>
      <c r="R1792" t="s">
        <v>34</v>
      </c>
      <c r="S1792" t="s">
        <v>35</v>
      </c>
      <c r="T1792" t="s">
        <v>35</v>
      </c>
      <c r="U1792" t="s">
        <v>34</v>
      </c>
      <c r="V1792" t="str">
        <f>""</f>
        <v/>
      </c>
      <c r="W1792">
        <v>20150714</v>
      </c>
      <c r="X1792" t="s">
        <v>208</v>
      </c>
      <c r="Y1792" t="s">
        <v>616</v>
      </c>
      <c r="Z1792" t="s">
        <v>616</v>
      </c>
      <c r="AA1792">
        <v>0</v>
      </c>
      <c r="AB1792" t="s">
        <v>142</v>
      </c>
      <c r="AC1792" t="s">
        <v>143</v>
      </c>
      <c r="AD1792" t="s">
        <v>40</v>
      </c>
      <c r="AE1792" t="str">
        <f t="shared" si="549"/>
        <v>07</v>
      </c>
      <c r="AF1792" t="s">
        <v>40</v>
      </c>
    </row>
    <row r="1793" spans="1:32" x14ac:dyDescent="0.25">
      <c r="A1793">
        <v>5</v>
      </c>
      <c r="B1793">
        <v>420</v>
      </c>
      <c r="C1793" t="str">
        <f>"51"</f>
        <v>51</v>
      </c>
      <c r="D1793">
        <v>6219</v>
      </c>
      <c r="E1793" t="str">
        <f t="shared" si="553"/>
        <v>00</v>
      </c>
      <c r="F1793" t="str">
        <f>"999"</f>
        <v>999</v>
      </c>
      <c r="G1793">
        <v>5</v>
      </c>
      <c r="H1793" t="str">
        <f>"99"</f>
        <v>99</v>
      </c>
      <c r="I1793" t="str">
        <f t="shared" si="537"/>
        <v>0</v>
      </c>
      <c r="J1793" t="str">
        <f t="shared" si="552"/>
        <v>00</v>
      </c>
      <c r="K1793">
        <v>20150716</v>
      </c>
      <c r="L1793" t="str">
        <f>"015088"</f>
        <v>015088</v>
      </c>
      <c r="M1793" t="str">
        <f>"00102"</f>
        <v>00102</v>
      </c>
      <c r="N1793" t="s">
        <v>367</v>
      </c>
      <c r="O1793">
        <v>145</v>
      </c>
      <c r="Q1793" t="s">
        <v>33</v>
      </c>
      <c r="R1793" t="s">
        <v>34</v>
      </c>
      <c r="S1793" t="s">
        <v>35</v>
      </c>
      <c r="T1793" t="s">
        <v>35</v>
      </c>
      <c r="U1793" t="s">
        <v>34</v>
      </c>
      <c r="V1793" t="str">
        <f>""</f>
        <v/>
      </c>
      <c r="W1793">
        <v>20150716</v>
      </c>
      <c r="X1793" t="s">
        <v>183</v>
      </c>
      <c r="Y1793" t="s">
        <v>368</v>
      </c>
      <c r="Z1793" t="s">
        <v>368</v>
      </c>
      <c r="AA1793">
        <v>0</v>
      </c>
      <c r="AB1793" t="s">
        <v>142</v>
      </c>
      <c r="AC1793" t="s">
        <v>143</v>
      </c>
      <c r="AD1793" t="s">
        <v>40</v>
      </c>
      <c r="AE1793" t="str">
        <f t="shared" si="549"/>
        <v>07</v>
      </c>
      <c r="AF1793" t="s">
        <v>40</v>
      </c>
    </row>
    <row r="1794" spans="1:32" x14ac:dyDescent="0.25">
      <c r="A1794">
        <v>5</v>
      </c>
      <c r="B1794">
        <v>420</v>
      </c>
      <c r="C1794" t="str">
        <f>"11"</f>
        <v>11</v>
      </c>
      <c r="D1794">
        <v>6219</v>
      </c>
      <c r="E1794" t="str">
        <f t="shared" si="553"/>
        <v>00</v>
      </c>
      <c r="F1794" t="str">
        <f>"999"</f>
        <v>999</v>
      </c>
      <c r="G1794">
        <v>5</v>
      </c>
      <c r="H1794" t="str">
        <f>"11"</f>
        <v>11</v>
      </c>
      <c r="I1794" t="str">
        <f t="shared" ref="I1794:I1857" si="554">"0"</f>
        <v>0</v>
      </c>
      <c r="J1794" t="str">
        <f t="shared" si="552"/>
        <v>00</v>
      </c>
      <c r="K1794">
        <v>20150716</v>
      </c>
      <c r="L1794" t="str">
        <f>"015089"</f>
        <v>015089</v>
      </c>
      <c r="M1794" t="str">
        <f>"00555"</f>
        <v>00555</v>
      </c>
      <c r="N1794" t="s">
        <v>935</v>
      </c>
      <c r="O1794" s="1">
        <v>2200</v>
      </c>
      <c r="Q1794" t="s">
        <v>33</v>
      </c>
      <c r="R1794" t="s">
        <v>34</v>
      </c>
      <c r="S1794" t="s">
        <v>35</v>
      </c>
      <c r="T1794" t="s">
        <v>35</v>
      </c>
      <c r="U1794" t="s">
        <v>34</v>
      </c>
      <c r="V1794" t="str">
        <f>""</f>
        <v/>
      </c>
      <c r="W1794">
        <v>20150714</v>
      </c>
      <c r="X1794" t="s">
        <v>166</v>
      </c>
      <c r="Y1794" t="s">
        <v>936</v>
      </c>
      <c r="Z1794" t="s">
        <v>936</v>
      </c>
      <c r="AA1794">
        <v>0</v>
      </c>
      <c r="AB1794" t="s">
        <v>142</v>
      </c>
      <c r="AC1794" t="s">
        <v>143</v>
      </c>
      <c r="AD1794" t="s">
        <v>40</v>
      </c>
      <c r="AE1794" t="str">
        <f t="shared" si="549"/>
        <v>07</v>
      </c>
      <c r="AF1794" t="s">
        <v>40</v>
      </c>
    </row>
    <row r="1795" spans="1:32" x14ac:dyDescent="0.25">
      <c r="A1795">
        <v>5</v>
      </c>
      <c r="B1795">
        <v>420</v>
      </c>
      <c r="C1795" t="str">
        <f>"41"</f>
        <v>41</v>
      </c>
      <c r="D1795">
        <v>6219</v>
      </c>
      <c r="E1795" t="str">
        <f t="shared" si="553"/>
        <v>00</v>
      </c>
      <c r="F1795" t="str">
        <f>"750"</f>
        <v>750</v>
      </c>
      <c r="G1795">
        <v>5</v>
      </c>
      <c r="H1795" t="str">
        <f>"99"</f>
        <v>99</v>
      </c>
      <c r="I1795" t="str">
        <f t="shared" si="554"/>
        <v>0</v>
      </c>
      <c r="J1795" t="str">
        <f t="shared" si="552"/>
        <v>00</v>
      </c>
      <c r="K1795">
        <v>20150716</v>
      </c>
      <c r="L1795" t="str">
        <f>"015090"</f>
        <v>015090</v>
      </c>
      <c r="M1795" t="str">
        <f>"00876"</f>
        <v>00876</v>
      </c>
      <c r="N1795" t="s">
        <v>937</v>
      </c>
      <c r="O1795">
        <v>36.299999999999997</v>
      </c>
      <c r="Q1795" t="s">
        <v>33</v>
      </c>
      <c r="R1795" t="s">
        <v>34</v>
      </c>
      <c r="S1795" t="s">
        <v>35</v>
      </c>
      <c r="T1795" t="s">
        <v>35</v>
      </c>
      <c r="U1795" t="s">
        <v>34</v>
      </c>
      <c r="V1795" t="str">
        <f>""</f>
        <v/>
      </c>
      <c r="W1795">
        <v>20150714</v>
      </c>
      <c r="X1795" t="s">
        <v>255</v>
      </c>
      <c r="Y1795" t="s">
        <v>938</v>
      </c>
      <c r="Z1795" t="s">
        <v>938</v>
      </c>
      <c r="AA1795">
        <v>0</v>
      </c>
      <c r="AB1795" t="s">
        <v>142</v>
      </c>
      <c r="AC1795" t="s">
        <v>170</v>
      </c>
      <c r="AD1795" t="s">
        <v>40</v>
      </c>
      <c r="AE1795" t="str">
        <f t="shared" si="549"/>
        <v>07</v>
      </c>
      <c r="AF1795" t="s">
        <v>40</v>
      </c>
    </row>
    <row r="1796" spans="1:32" x14ac:dyDescent="0.25">
      <c r="A1796">
        <v>5</v>
      </c>
      <c r="B1796">
        <v>420</v>
      </c>
      <c r="C1796" t="str">
        <f>"41"</f>
        <v>41</v>
      </c>
      <c r="D1796">
        <v>6219</v>
      </c>
      <c r="E1796" t="str">
        <f t="shared" si="553"/>
        <v>00</v>
      </c>
      <c r="F1796" t="str">
        <f>"750"</f>
        <v>750</v>
      </c>
      <c r="G1796">
        <v>5</v>
      </c>
      <c r="H1796" t="str">
        <f>"99"</f>
        <v>99</v>
      </c>
      <c r="I1796" t="str">
        <f t="shared" si="554"/>
        <v>0</v>
      </c>
      <c r="J1796" t="str">
        <f t="shared" si="552"/>
        <v>00</v>
      </c>
      <c r="K1796">
        <v>20150716</v>
      </c>
      <c r="L1796" t="str">
        <f>"015090"</f>
        <v>015090</v>
      </c>
      <c r="M1796" t="str">
        <f>"00876"</f>
        <v>00876</v>
      </c>
      <c r="N1796" t="s">
        <v>937</v>
      </c>
      <c r="O1796">
        <v>80.180000000000007</v>
      </c>
      <c r="Q1796" t="s">
        <v>33</v>
      </c>
      <c r="R1796" t="s">
        <v>34</v>
      </c>
      <c r="S1796" t="s">
        <v>35</v>
      </c>
      <c r="T1796" t="s">
        <v>35</v>
      </c>
      <c r="U1796" t="s">
        <v>34</v>
      </c>
      <c r="V1796" t="str">
        <f>""</f>
        <v/>
      </c>
      <c r="W1796">
        <v>20150714</v>
      </c>
      <c r="X1796" t="s">
        <v>255</v>
      </c>
      <c r="Y1796" t="s">
        <v>938</v>
      </c>
      <c r="Z1796" t="s">
        <v>938</v>
      </c>
      <c r="AA1796">
        <v>0</v>
      </c>
      <c r="AB1796" t="s">
        <v>142</v>
      </c>
      <c r="AC1796" t="s">
        <v>170</v>
      </c>
      <c r="AD1796" t="s">
        <v>40</v>
      </c>
      <c r="AE1796" t="str">
        <f t="shared" si="549"/>
        <v>07</v>
      </c>
      <c r="AF1796" t="s">
        <v>40</v>
      </c>
    </row>
    <row r="1797" spans="1:32" x14ac:dyDescent="0.25">
      <c r="A1797">
        <v>5</v>
      </c>
      <c r="B1797">
        <v>420</v>
      </c>
      <c r="C1797" t="str">
        <f>"51"</f>
        <v>51</v>
      </c>
      <c r="D1797">
        <v>6319</v>
      </c>
      <c r="E1797" t="str">
        <f t="shared" si="553"/>
        <v>00</v>
      </c>
      <c r="F1797" t="str">
        <f>"999"</f>
        <v>999</v>
      </c>
      <c r="G1797">
        <v>5</v>
      </c>
      <c r="H1797" t="str">
        <f>"99"</f>
        <v>99</v>
      </c>
      <c r="I1797" t="str">
        <f t="shared" si="554"/>
        <v>0</v>
      </c>
      <c r="J1797" t="str">
        <f t="shared" si="552"/>
        <v>00</v>
      </c>
      <c r="K1797">
        <v>20150716</v>
      </c>
      <c r="L1797" t="str">
        <f>"015091"</f>
        <v>015091</v>
      </c>
      <c r="M1797" t="str">
        <f>"00152"</f>
        <v>00152</v>
      </c>
      <c r="N1797" t="s">
        <v>910</v>
      </c>
      <c r="O1797">
        <v>229.86</v>
      </c>
      <c r="Q1797" t="s">
        <v>33</v>
      </c>
      <c r="R1797" t="s">
        <v>34</v>
      </c>
      <c r="S1797" t="s">
        <v>35</v>
      </c>
      <c r="T1797" t="s">
        <v>35</v>
      </c>
      <c r="U1797" t="s">
        <v>34</v>
      </c>
      <c r="V1797" t="str">
        <f>""</f>
        <v/>
      </c>
      <c r="W1797">
        <v>20150715</v>
      </c>
      <c r="X1797" t="s">
        <v>185</v>
      </c>
      <c r="Y1797" t="s">
        <v>939</v>
      </c>
      <c r="Z1797" t="s">
        <v>939</v>
      </c>
      <c r="AA1797">
        <v>0</v>
      </c>
      <c r="AB1797" t="s">
        <v>142</v>
      </c>
      <c r="AC1797" t="s">
        <v>143</v>
      </c>
      <c r="AD1797" t="s">
        <v>40</v>
      </c>
      <c r="AE1797" t="str">
        <f t="shared" si="549"/>
        <v>07</v>
      </c>
      <c r="AF1797" t="s">
        <v>40</v>
      </c>
    </row>
    <row r="1798" spans="1:32" x14ac:dyDescent="0.25">
      <c r="A1798">
        <v>5</v>
      </c>
      <c r="B1798">
        <v>420</v>
      </c>
      <c r="C1798" t="str">
        <f>"61"</f>
        <v>61</v>
      </c>
      <c r="D1798">
        <v>6219</v>
      </c>
      <c r="E1798" t="str">
        <f t="shared" si="553"/>
        <v>00</v>
      </c>
      <c r="F1798" t="str">
        <f>"999"</f>
        <v>999</v>
      </c>
      <c r="G1798">
        <v>5</v>
      </c>
      <c r="H1798" t="str">
        <f>"11"</f>
        <v>11</v>
      </c>
      <c r="I1798" t="str">
        <f t="shared" si="554"/>
        <v>0</v>
      </c>
      <c r="J1798" t="str">
        <f t="shared" si="552"/>
        <v>00</v>
      </c>
      <c r="K1798">
        <v>20150716</v>
      </c>
      <c r="L1798" t="str">
        <f>"015092"</f>
        <v>015092</v>
      </c>
      <c r="M1798" t="str">
        <f>"00566"</f>
        <v>00566</v>
      </c>
      <c r="N1798" t="s">
        <v>221</v>
      </c>
      <c r="O1798">
        <v>67</v>
      </c>
      <c r="Q1798" t="s">
        <v>33</v>
      </c>
      <c r="R1798" t="s">
        <v>34</v>
      </c>
      <c r="S1798" t="s">
        <v>35</v>
      </c>
      <c r="T1798" t="s">
        <v>35</v>
      </c>
      <c r="U1798" t="s">
        <v>34</v>
      </c>
      <c r="V1798" t="str">
        <f>""</f>
        <v/>
      </c>
      <c r="W1798">
        <v>20150715</v>
      </c>
      <c r="X1798" t="s">
        <v>222</v>
      </c>
      <c r="Y1798" t="s">
        <v>699</v>
      </c>
      <c r="Z1798" t="s">
        <v>699</v>
      </c>
      <c r="AA1798">
        <v>0</v>
      </c>
      <c r="AB1798" t="s">
        <v>142</v>
      </c>
      <c r="AC1798" t="s">
        <v>143</v>
      </c>
      <c r="AD1798" t="s">
        <v>40</v>
      </c>
      <c r="AE1798" t="str">
        <f t="shared" si="549"/>
        <v>07</v>
      </c>
      <c r="AF1798" t="s">
        <v>40</v>
      </c>
    </row>
    <row r="1799" spans="1:32" x14ac:dyDescent="0.25">
      <c r="A1799">
        <v>5</v>
      </c>
      <c r="B1799">
        <v>420</v>
      </c>
      <c r="C1799" t="str">
        <f>"11"</f>
        <v>11</v>
      </c>
      <c r="D1799">
        <v>6269</v>
      </c>
      <c r="E1799" t="str">
        <f t="shared" si="553"/>
        <v>00</v>
      </c>
      <c r="F1799" t="str">
        <f>"999"</f>
        <v>999</v>
      </c>
      <c r="G1799">
        <v>5</v>
      </c>
      <c r="H1799" t="str">
        <f>"11"</f>
        <v>11</v>
      </c>
      <c r="I1799" t="str">
        <f t="shared" si="554"/>
        <v>0</v>
      </c>
      <c r="J1799" t="str">
        <f t="shared" si="552"/>
        <v>00</v>
      </c>
      <c r="K1799">
        <v>20150716</v>
      </c>
      <c r="L1799" t="str">
        <f>"015093"</f>
        <v>015093</v>
      </c>
      <c r="M1799" t="str">
        <f>"00218"</f>
        <v>00218</v>
      </c>
      <c r="N1799" t="s">
        <v>694</v>
      </c>
      <c r="O1799">
        <v>199.88</v>
      </c>
      <c r="Q1799" t="s">
        <v>33</v>
      </c>
      <c r="R1799" t="s">
        <v>34</v>
      </c>
      <c r="S1799" t="s">
        <v>35</v>
      </c>
      <c r="T1799" t="s">
        <v>35</v>
      </c>
      <c r="U1799" t="s">
        <v>34</v>
      </c>
      <c r="V1799" t="str">
        <f>""</f>
        <v/>
      </c>
      <c r="W1799">
        <v>20150714</v>
      </c>
      <c r="X1799" t="s">
        <v>213</v>
      </c>
      <c r="Y1799" t="s">
        <v>231</v>
      </c>
      <c r="Z1799" t="s">
        <v>231</v>
      </c>
      <c r="AA1799">
        <v>0</v>
      </c>
      <c r="AB1799" t="s">
        <v>142</v>
      </c>
      <c r="AC1799" t="s">
        <v>143</v>
      </c>
      <c r="AD1799" t="s">
        <v>40</v>
      </c>
      <c r="AE1799" t="str">
        <f t="shared" si="549"/>
        <v>07</v>
      </c>
      <c r="AF1799" t="s">
        <v>40</v>
      </c>
    </row>
    <row r="1800" spans="1:32" x14ac:dyDescent="0.25">
      <c r="A1800">
        <v>5</v>
      </c>
      <c r="B1800">
        <v>420</v>
      </c>
      <c r="C1800" t="str">
        <f>"13"</f>
        <v>13</v>
      </c>
      <c r="D1800">
        <v>6399</v>
      </c>
      <c r="E1800" t="str">
        <f t="shared" si="553"/>
        <v>00</v>
      </c>
      <c r="F1800" t="str">
        <f>"001"</f>
        <v>001</v>
      </c>
      <c r="G1800">
        <v>5</v>
      </c>
      <c r="H1800" t="str">
        <f>"11"</f>
        <v>11</v>
      </c>
      <c r="I1800" t="str">
        <f t="shared" si="554"/>
        <v>0</v>
      </c>
      <c r="J1800" t="str">
        <f t="shared" si="552"/>
        <v>00</v>
      </c>
      <c r="K1800">
        <v>20150716</v>
      </c>
      <c r="L1800" t="str">
        <f>"015094"</f>
        <v>015094</v>
      </c>
      <c r="M1800" t="str">
        <f>"00222"</f>
        <v>00222</v>
      </c>
      <c r="N1800" t="s">
        <v>788</v>
      </c>
      <c r="O1800">
        <v>134.88</v>
      </c>
      <c r="Q1800" t="s">
        <v>33</v>
      </c>
      <c r="R1800" t="s">
        <v>34</v>
      </c>
      <c r="S1800" t="s">
        <v>35</v>
      </c>
      <c r="T1800" t="s">
        <v>35</v>
      </c>
      <c r="U1800" t="s">
        <v>34</v>
      </c>
      <c r="V1800" t="str">
        <f>""</f>
        <v/>
      </c>
      <c r="W1800">
        <v>20150714</v>
      </c>
      <c r="X1800" t="s">
        <v>390</v>
      </c>
      <c r="Y1800" t="s">
        <v>789</v>
      </c>
      <c r="Z1800" t="s">
        <v>789</v>
      </c>
      <c r="AA1800">
        <v>0</v>
      </c>
      <c r="AB1800" t="s">
        <v>142</v>
      </c>
      <c r="AC1800" t="s">
        <v>41</v>
      </c>
      <c r="AD1800" t="s">
        <v>40</v>
      </c>
      <c r="AE1800" t="str">
        <f t="shared" si="549"/>
        <v>07</v>
      </c>
      <c r="AF1800" t="s">
        <v>40</v>
      </c>
    </row>
    <row r="1801" spans="1:32" x14ac:dyDescent="0.25">
      <c r="A1801">
        <v>5</v>
      </c>
      <c r="B1801">
        <v>420</v>
      </c>
      <c r="C1801" t="str">
        <f>"51"</f>
        <v>51</v>
      </c>
      <c r="D1801">
        <v>6499</v>
      </c>
      <c r="E1801" t="str">
        <f t="shared" si="553"/>
        <v>00</v>
      </c>
      <c r="F1801" t="str">
        <f>"999"</f>
        <v>999</v>
      </c>
      <c r="G1801">
        <v>5</v>
      </c>
      <c r="H1801" t="str">
        <f>"99"</f>
        <v>99</v>
      </c>
      <c r="I1801" t="str">
        <f t="shared" si="554"/>
        <v>0</v>
      </c>
      <c r="J1801" t="str">
        <f t="shared" si="552"/>
        <v>00</v>
      </c>
      <c r="K1801">
        <v>20150716</v>
      </c>
      <c r="L1801" t="str">
        <f>"015095"</f>
        <v>015095</v>
      </c>
      <c r="M1801" t="str">
        <f>"00877"</f>
        <v>00877</v>
      </c>
      <c r="N1801" t="s">
        <v>940</v>
      </c>
      <c r="O1801">
        <v>9.41</v>
      </c>
      <c r="Q1801" t="s">
        <v>33</v>
      </c>
      <c r="R1801" t="s">
        <v>34</v>
      </c>
      <c r="S1801" t="s">
        <v>35</v>
      </c>
      <c r="T1801" t="s">
        <v>35</v>
      </c>
      <c r="U1801" t="s">
        <v>34</v>
      </c>
      <c r="V1801" t="str">
        <f>""</f>
        <v/>
      </c>
      <c r="W1801">
        <v>20150714</v>
      </c>
      <c r="X1801" t="s">
        <v>356</v>
      </c>
      <c r="Y1801" t="s">
        <v>941</v>
      </c>
      <c r="Z1801" t="s">
        <v>941</v>
      </c>
      <c r="AA1801">
        <v>0</v>
      </c>
      <c r="AB1801" t="s">
        <v>142</v>
      </c>
      <c r="AC1801" t="s">
        <v>143</v>
      </c>
      <c r="AD1801" t="s">
        <v>40</v>
      </c>
      <c r="AE1801" t="str">
        <f t="shared" si="549"/>
        <v>07</v>
      </c>
      <c r="AF1801" t="s">
        <v>40</v>
      </c>
    </row>
    <row r="1802" spans="1:32" x14ac:dyDescent="0.25">
      <c r="A1802">
        <v>5</v>
      </c>
      <c r="B1802">
        <v>420</v>
      </c>
      <c r="C1802" t="str">
        <f>"41"</f>
        <v>41</v>
      </c>
      <c r="D1802">
        <v>6499</v>
      </c>
      <c r="E1802" t="str">
        <f t="shared" si="553"/>
        <v>00</v>
      </c>
      <c r="F1802" t="str">
        <f>"750"</f>
        <v>750</v>
      </c>
      <c r="G1802">
        <v>5</v>
      </c>
      <c r="H1802" t="str">
        <f>"99"</f>
        <v>99</v>
      </c>
      <c r="I1802" t="str">
        <f t="shared" si="554"/>
        <v>0</v>
      </c>
      <c r="J1802" t="str">
        <f t="shared" si="552"/>
        <v>00</v>
      </c>
      <c r="K1802">
        <v>20150716</v>
      </c>
      <c r="L1802" t="str">
        <f>"015096"</f>
        <v>015096</v>
      </c>
      <c r="M1802" t="str">
        <f>"00879"</f>
        <v>00879</v>
      </c>
      <c r="N1802" t="s">
        <v>942</v>
      </c>
      <c r="O1802">
        <v>972</v>
      </c>
      <c r="Q1802" t="s">
        <v>33</v>
      </c>
      <c r="R1802" t="s">
        <v>34</v>
      </c>
      <c r="S1802" t="s">
        <v>35</v>
      </c>
      <c r="T1802" t="s">
        <v>35</v>
      </c>
      <c r="U1802" t="s">
        <v>34</v>
      </c>
      <c r="V1802" t="str">
        <f>""</f>
        <v/>
      </c>
      <c r="W1802">
        <v>20150714</v>
      </c>
      <c r="X1802" t="s">
        <v>168</v>
      </c>
      <c r="Y1802" t="s">
        <v>943</v>
      </c>
      <c r="Z1802" t="s">
        <v>943</v>
      </c>
      <c r="AA1802">
        <v>0</v>
      </c>
      <c r="AB1802" t="s">
        <v>142</v>
      </c>
      <c r="AC1802" t="s">
        <v>170</v>
      </c>
      <c r="AD1802" t="s">
        <v>40</v>
      </c>
      <c r="AE1802" t="str">
        <f t="shared" si="549"/>
        <v>07</v>
      </c>
      <c r="AF1802" t="s">
        <v>40</v>
      </c>
    </row>
    <row r="1803" spans="1:32" x14ac:dyDescent="0.25">
      <c r="A1803">
        <v>5</v>
      </c>
      <c r="B1803">
        <v>420</v>
      </c>
      <c r="C1803" t="str">
        <f>"51"</f>
        <v>51</v>
      </c>
      <c r="D1803">
        <v>6259</v>
      </c>
      <c r="E1803" t="str">
        <f>"50"</f>
        <v>50</v>
      </c>
      <c r="F1803" t="str">
        <f>"999"</f>
        <v>999</v>
      </c>
      <c r="G1803">
        <v>5</v>
      </c>
      <c r="H1803" t="str">
        <f>"99"</f>
        <v>99</v>
      </c>
      <c r="I1803" t="str">
        <f t="shared" si="554"/>
        <v>0</v>
      </c>
      <c r="J1803" t="str">
        <f t="shared" si="552"/>
        <v>00</v>
      </c>
      <c r="K1803">
        <v>20150716</v>
      </c>
      <c r="L1803" t="str">
        <f>"015097"</f>
        <v>015097</v>
      </c>
      <c r="M1803" t="str">
        <f>"00162"</f>
        <v>00162</v>
      </c>
      <c r="N1803" t="s">
        <v>242</v>
      </c>
      <c r="O1803">
        <v>690.14</v>
      </c>
      <c r="Q1803" t="s">
        <v>33</v>
      </c>
      <c r="R1803" t="s">
        <v>34</v>
      </c>
      <c r="S1803" t="s">
        <v>35</v>
      </c>
      <c r="T1803" t="s">
        <v>35</v>
      </c>
      <c r="U1803" t="s">
        <v>34</v>
      </c>
      <c r="V1803" t="str">
        <f>""</f>
        <v/>
      </c>
      <c r="W1803">
        <v>20150714</v>
      </c>
      <c r="X1803" t="s">
        <v>374</v>
      </c>
      <c r="Y1803" t="s">
        <v>375</v>
      </c>
      <c r="Z1803" t="s">
        <v>375</v>
      </c>
      <c r="AA1803">
        <v>0</v>
      </c>
      <c r="AB1803" t="s">
        <v>142</v>
      </c>
      <c r="AC1803" t="s">
        <v>143</v>
      </c>
      <c r="AD1803" t="s">
        <v>40</v>
      </c>
      <c r="AE1803" t="str">
        <f t="shared" si="549"/>
        <v>07</v>
      </c>
      <c r="AF1803" t="s">
        <v>40</v>
      </c>
    </row>
    <row r="1804" spans="1:32" x14ac:dyDescent="0.25">
      <c r="A1804">
        <v>5</v>
      </c>
      <c r="B1804">
        <v>420</v>
      </c>
      <c r="C1804" t="str">
        <f t="shared" ref="C1804:C1815" si="555">"11"</f>
        <v>11</v>
      </c>
      <c r="D1804">
        <v>6399</v>
      </c>
      <c r="E1804" t="str">
        <f t="shared" ref="E1804:E1815" si="556">"00"</f>
        <v>00</v>
      </c>
      <c r="F1804" t="str">
        <f>"001"</f>
        <v>001</v>
      </c>
      <c r="G1804">
        <v>5</v>
      </c>
      <c r="H1804" t="str">
        <f t="shared" ref="H1804:H1815" si="557">"11"</f>
        <v>11</v>
      </c>
      <c r="I1804" t="str">
        <f t="shared" si="554"/>
        <v>0</v>
      </c>
      <c r="J1804" t="str">
        <f t="shared" si="552"/>
        <v>00</v>
      </c>
      <c r="K1804">
        <v>20150716</v>
      </c>
      <c r="L1804" t="str">
        <f t="shared" ref="L1804:L1815" si="558">"015098"</f>
        <v>015098</v>
      </c>
      <c r="M1804" t="str">
        <f t="shared" ref="M1804:M1815" si="559">"00701"</f>
        <v>00701</v>
      </c>
      <c r="N1804" t="s">
        <v>120</v>
      </c>
      <c r="O1804">
        <v>0.41</v>
      </c>
      <c r="Q1804" t="s">
        <v>33</v>
      </c>
      <c r="R1804" t="s">
        <v>34</v>
      </c>
      <c r="S1804" t="s">
        <v>35</v>
      </c>
      <c r="T1804" t="s">
        <v>35</v>
      </c>
      <c r="U1804" t="s">
        <v>34</v>
      </c>
      <c r="V1804" t="str">
        <f>""</f>
        <v/>
      </c>
      <c r="W1804">
        <v>20150714</v>
      </c>
      <c r="X1804" t="s">
        <v>239</v>
      </c>
      <c r="Y1804" t="s">
        <v>399</v>
      </c>
      <c r="Z1804" t="s">
        <v>399</v>
      </c>
      <c r="AA1804">
        <v>0</v>
      </c>
      <c r="AB1804" t="s">
        <v>142</v>
      </c>
      <c r="AC1804" t="s">
        <v>41</v>
      </c>
      <c r="AD1804" t="s">
        <v>40</v>
      </c>
      <c r="AE1804" t="str">
        <f t="shared" si="549"/>
        <v>07</v>
      </c>
      <c r="AF1804" t="s">
        <v>40</v>
      </c>
    </row>
    <row r="1805" spans="1:32" x14ac:dyDescent="0.25">
      <c r="A1805">
        <v>5</v>
      </c>
      <c r="B1805">
        <v>420</v>
      </c>
      <c r="C1805" t="str">
        <f t="shared" si="555"/>
        <v>11</v>
      </c>
      <c r="D1805">
        <v>6399</v>
      </c>
      <c r="E1805" t="str">
        <f t="shared" si="556"/>
        <v>00</v>
      </c>
      <c r="F1805" t="str">
        <f>"001"</f>
        <v>001</v>
      </c>
      <c r="G1805">
        <v>5</v>
      </c>
      <c r="H1805" t="str">
        <f t="shared" si="557"/>
        <v>11</v>
      </c>
      <c r="I1805" t="str">
        <f t="shared" si="554"/>
        <v>0</v>
      </c>
      <c r="J1805" t="str">
        <f t="shared" si="552"/>
        <v>00</v>
      </c>
      <c r="K1805">
        <v>20150716</v>
      </c>
      <c r="L1805" t="str">
        <f t="shared" si="558"/>
        <v>015098</v>
      </c>
      <c r="M1805" t="str">
        <f t="shared" si="559"/>
        <v>00701</v>
      </c>
      <c r="N1805" t="s">
        <v>120</v>
      </c>
      <c r="O1805">
        <v>3.55</v>
      </c>
      <c r="Q1805" t="s">
        <v>33</v>
      </c>
      <c r="R1805" t="s">
        <v>34</v>
      </c>
      <c r="S1805" t="s">
        <v>35</v>
      </c>
      <c r="T1805" t="s">
        <v>35</v>
      </c>
      <c r="U1805" t="s">
        <v>34</v>
      </c>
      <c r="V1805" t="str">
        <f>""</f>
        <v/>
      </c>
      <c r="W1805">
        <v>20150714</v>
      </c>
      <c r="X1805" t="s">
        <v>239</v>
      </c>
      <c r="Y1805" t="s">
        <v>399</v>
      </c>
      <c r="Z1805" t="s">
        <v>399</v>
      </c>
      <c r="AA1805">
        <v>0</v>
      </c>
      <c r="AB1805" t="s">
        <v>142</v>
      </c>
      <c r="AC1805" t="s">
        <v>41</v>
      </c>
      <c r="AD1805" t="s">
        <v>40</v>
      </c>
      <c r="AE1805" t="str">
        <f t="shared" si="549"/>
        <v>07</v>
      </c>
      <c r="AF1805" t="s">
        <v>40</v>
      </c>
    </row>
    <row r="1806" spans="1:32" x14ac:dyDescent="0.25">
      <c r="A1806">
        <v>5</v>
      </c>
      <c r="B1806">
        <v>420</v>
      </c>
      <c r="C1806" t="str">
        <f t="shared" si="555"/>
        <v>11</v>
      </c>
      <c r="D1806">
        <v>6399</v>
      </c>
      <c r="E1806" t="str">
        <f t="shared" si="556"/>
        <v>00</v>
      </c>
      <c r="F1806" t="str">
        <f>"001"</f>
        <v>001</v>
      </c>
      <c r="G1806">
        <v>5</v>
      </c>
      <c r="H1806" t="str">
        <f t="shared" si="557"/>
        <v>11</v>
      </c>
      <c r="I1806" t="str">
        <f t="shared" si="554"/>
        <v>0</v>
      </c>
      <c r="J1806" t="str">
        <f t="shared" si="552"/>
        <v>00</v>
      </c>
      <c r="K1806">
        <v>20150716</v>
      </c>
      <c r="L1806" t="str">
        <f t="shared" si="558"/>
        <v>015098</v>
      </c>
      <c r="M1806" t="str">
        <f t="shared" si="559"/>
        <v>00701</v>
      </c>
      <c r="N1806" t="s">
        <v>120</v>
      </c>
      <c r="O1806">
        <v>5.71</v>
      </c>
      <c r="Q1806" t="s">
        <v>33</v>
      </c>
      <c r="R1806" t="s">
        <v>34</v>
      </c>
      <c r="S1806" t="s">
        <v>35</v>
      </c>
      <c r="T1806" t="s">
        <v>35</v>
      </c>
      <c r="U1806" t="s">
        <v>34</v>
      </c>
      <c r="V1806" t="str">
        <f>""</f>
        <v/>
      </c>
      <c r="W1806">
        <v>20150714</v>
      </c>
      <c r="X1806" t="s">
        <v>239</v>
      </c>
      <c r="Y1806" t="s">
        <v>399</v>
      </c>
      <c r="Z1806" t="s">
        <v>399</v>
      </c>
      <c r="AA1806">
        <v>0</v>
      </c>
      <c r="AB1806" t="s">
        <v>142</v>
      </c>
      <c r="AC1806" t="s">
        <v>41</v>
      </c>
      <c r="AD1806" t="s">
        <v>40</v>
      </c>
      <c r="AE1806" t="str">
        <f t="shared" ref="AE1806:AE1837" si="560">"07"</f>
        <v>07</v>
      </c>
      <c r="AF1806" t="s">
        <v>40</v>
      </c>
    </row>
    <row r="1807" spans="1:32" x14ac:dyDescent="0.25">
      <c r="A1807">
        <v>5</v>
      </c>
      <c r="B1807">
        <v>420</v>
      </c>
      <c r="C1807" t="str">
        <f t="shared" si="555"/>
        <v>11</v>
      </c>
      <c r="D1807">
        <v>6399</v>
      </c>
      <c r="E1807" t="str">
        <f t="shared" si="556"/>
        <v>00</v>
      </c>
      <c r="F1807" t="str">
        <f>"001"</f>
        <v>001</v>
      </c>
      <c r="G1807">
        <v>5</v>
      </c>
      <c r="H1807" t="str">
        <f t="shared" si="557"/>
        <v>11</v>
      </c>
      <c r="I1807" t="str">
        <f t="shared" si="554"/>
        <v>0</v>
      </c>
      <c r="J1807" t="str">
        <f t="shared" si="552"/>
        <v>00</v>
      </c>
      <c r="K1807">
        <v>20150716</v>
      </c>
      <c r="L1807" t="str">
        <f t="shared" si="558"/>
        <v>015098</v>
      </c>
      <c r="M1807" t="str">
        <f t="shared" si="559"/>
        <v>00701</v>
      </c>
      <c r="N1807" t="s">
        <v>120</v>
      </c>
      <c r="O1807">
        <v>183.54</v>
      </c>
      <c r="Q1807" t="s">
        <v>33</v>
      </c>
      <c r="R1807" t="s">
        <v>34</v>
      </c>
      <c r="S1807" t="s">
        <v>35</v>
      </c>
      <c r="T1807" t="s">
        <v>35</v>
      </c>
      <c r="U1807" t="s">
        <v>34</v>
      </c>
      <c r="V1807" t="str">
        <f>""</f>
        <v/>
      </c>
      <c r="W1807">
        <v>20150714</v>
      </c>
      <c r="X1807" t="s">
        <v>239</v>
      </c>
      <c r="Y1807" t="s">
        <v>399</v>
      </c>
      <c r="Z1807" t="s">
        <v>399</v>
      </c>
      <c r="AA1807">
        <v>0</v>
      </c>
      <c r="AB1807" t="s">
        <v>142</v>
      </c>
      <c r="AC1807" t="s">
        <v>41</v>
      </c>
      <c r="AD1807" t="s">
        <v>40</v>
      </c>
      <c r="AE1807" t="str">
        <f t="shared" si="560"/>
        <v>07</v>
      </c>
      <c r="AF1807" t="s">
        <v>40</v>
      </c>
    </row>
    <row r="1808" spans="1:32" x14ac:dyDescent="0.25">
      <c r="A1808">
        <v>5</v>
      </c>
      <c r="B1808">
        <v>420</v>
      </c>
      <c r="C1808" t="str">
        <f t="shared" si="555"/>
        <v>11</v>
      </c>
      <c r="D1808">
        <v>6399</v>
      </c>
      <c r="E1808" t="str">
        <f t="shared" si="556"/>
        <v>00</v>
      </c>
      <c r="F1808" t="str">
        <f>"041"</f>
        <v>041</v>
      </c>
      <c r="G1808">
        <v>5</v>
      </c>
      <c r="H1808" t="str">
        <f t="shared" si="557"/>
        <v>11</v>
      </c>
      <c r="I1808" t="str">
        <f t="shared" si="554"/>
        <v>0</v>
      </c>
      <c r="J1808" t="str">
        <f t="shared" si="552"/>
        <v>00</v>
      </c>
      <c r="K1808">
        <v>20150716</v>
      </c>
      <c r="L1808" t="str">
        <f t="shared" si="558"/>
        <v>015098</v>
      </c>
      <c r="M1808" t="str">
        <f t="shared" si="559"/>
        <v>00701</v>
      </c>
      <c r="N1808" t="s">
        <v>120</v>
      </c>
      <c r="O1808">
        <v>0.41</v>
      </c>
      <c r="Q1808" t="s">
        <v>33</v>
      </c>
      <c r="R1808" t="s">
        <v>34</v>
      </c>
      <c r="S1808" t="s">
        <v>35</v>
      </c>
      <c r="T1808" t="s">
        <v>35</v>
      </c>
      <c r="U1808" t="s">
        <v>34</v>
      </c>
      <c r="V1808" t="str">
        <f>""</f>
        <v/>
      </c>
      <c r="W1808">
        <v>20150714</v>
      </c>
      <c r="X1808" t="s">
        <v>241</v>
      </c>
      <c r="Y1808" t="s">
        <v>399</v>
      </c>
      <c r="Z1808" t="s">
        <v>399</v>
      </c>
      <c r="AA1808">
        <v>0</v>
      </c>
      <c r="AB1808" t="s">
        <v>142</v>
      </c>
      <c r="AC1808" t="s">
        <v>41</v>
      </c>
      <c r="AD1808" t="s">
        <v>40</v>
      </c>
      <c r="AE1808" t="str">
        <f t="shared" si="560"/>
        <v>07</v>
      </c>
      <c r="AF1808" t="s">
        <v>40</v>
      </c>
    </row>
    <row r="1809" spans="1:32" x14ac:dyDescent="0.25">
      <c r="A1809">
        <v>5</v>
      </c>
      <c r="B1809">
        <v>420</v>
      </c>
      <c r="C1809" t="str">
        <f t="shared" si="555"/>
        <v>11</v>
      </c>
      <c r="D1809">
        <v>6399</v>
      </c>
      <c r="E1809" t="str">
        <f t="shared" si="556"/>
        <v>00</v>
      </c>
      <c r="F1809" t="str">
        <f>"041"</f>
        <v>041</v>
      </c>
      <c r="G1809">
        <v>5</v>
      </c>
      <c r="H1809" t="str">
        <f t="shared" si="557"/>
        <v>11</v>
      </c>
      <c r="I1809" t="str">
        <f t="shared" si="554"/>
        <v>0</v>
      </c>
      <c r="J1809" t="str">
        <f t="shared" si="552"/>
        <v>00</v>
      </c>
      <c r="K1809">
        <v>20150716</v>
      </c>
      <c r="L1809" t="str">
        <f t="shared" si="558"/>
        <v>015098</v>
      </c>
      <c r="M1809" t="str">
        <f t="shared" si="559"/>
        <v>00701</v>
      </c>
      <c r="N1809" t="s">
        <v>120</v>
      </c>
      <c r="O1809">
        <v>3.55</v>
      </c>
      <c r="Q1809" t="s">
        <v>33</v>
      </c>
      <c r="R1809" t="s">
        <v>34</v>
      </c>
      <c r="S1809" t="s">
        <v>35</v>
      </c>
      <c r="T1809" t="s">
        <v>35</v>
      </c>
      <c r="U1809" t="s">
        <v>34</v>
      </c>
      <c r="V1809" t="str">
        <f>""</f>
        <v/>
      </c>
      <c r="W1809">
        <v>20150714</v>
      </c>
      <c r="X1809" t="s">
        <v>241</v>
      </c>
      <c r="Y1809" t="s">
        <v>399</v>
      </c>
      <c r="Z1809" t="s">
        <v>399</v>
      </c>
      <c r="AA1809">
        <v>0</v>
      </c>
      <c r="AB1809" t="s">
        <v>142</v>
      </c>
      <c r="AC1809" t="s">
        <v>41</v>
      </c>
      <c r="AD1809" t="s">
        <v>40</v>
      </c>
      <c r="AE1809" t="str">
        <f t="shared" si="560"/>
        <v>07</v>
      </c>
      <c r="AF1809" t="s">
        <v>40</v>
      </c>
    </row>
    <row r="1810" spans="1:32" x14ac:dyDescent="0.25">
      <c r="A1810">
        <v>5</v>
      </c>
      <c r="B1810">
        <v>420</v>
      </c>
      <c r="C1810" t="str">
        <f t="shared" si="555"/>
        <v>11</v>
      </c>
      <c r="D1810">
        <v>6399</v>
      </c>
      <c r="E1810" t="str">
        <f t="shared" si="556"/>
        <v>00</v>
      </c>
      <c r="F1810" t="str">
        <f>"041"</f>
        <v>041</v>
      </c>
      <c r="G1810">
        <v>5</v>
      </c>
      <c r="H1810" t="str">
        <f t="shared" si="557"/>
        <v>11</v>
      </c>
      <c r="I1810" t="str">
        <f t="shared" si="554"/>
        <v>0</v>
      </c>
      <c r="J1810" t="str">
        <f t="shared" si="552"/>
        <v>00</v>
      </c>
      <c r="K1810">
        <v>20150716</v>
      </c>
      <c r="L1810" t="str">
        <f t="shared" si="558"/>
        <v>015098</v>
      </c>
      <c r="M1810" t="str">
        <f t="shared" si="559"/>
        <v>00701</v>
      </c>
      <c r="N1810" t="s">
        <v>120</v>
      </c>
      <c r="O1810">
        <v>5.71</v>
      </c>
      <c r="Q1810" t="s">
        <v>33</v>
      </c>
      <c r="R1810" t="s">
        <v>34</v>
      </c>
      <c r="S1810" t="s">
        <v>35</v>
      </c>
      <c r="T1810" t="s">
        <v>35</v>
      </c>
      <c r="U1810" t="s">
        <v>34</v>
      </c>
      <c r="V1810" t="str">
        <f>""</f>
        <v/>
      </c>
      <c r="W1810">
        <v>20150714</v>
      </c>
      <c r="X1810" t="s">
        <v>241</v>
      </c>
      <c r="Y1810" t="s">
        <v>399</v>
      </c>
      <c r="Z1810" t="s">
        <v>399</v>
      </c>
      <c r="AA1810">
        <v>0</v>
      </c>
      <c r="AB1810" t="s">
        <v>142</v>
      </c>
      <c r="AC1810" t="s">
        <v>41</v>
      </c>
      <c r="AD1810" t="s">
        <v>40</v>
      </c>
      <c r="AE1810" t="str">
        <f t="shared" si="560"/>
        <v>07</v>
      </c>
      <c r="AF1810" t="s">
        <v>40</v>
      </c>
    </row>
    <row r="1811" spans="1:32" x14ac:dyDescent="0.25">
      <c r="A1811">
        <v>5</v>
      </c>
      <c r="B1811">
        <v>420</v>
      </c>
      <c r="C1811" t="str">
        <f t="shared" si="555"/>
        <v>11</v>
      </c>
      <c r="D1811">
        <v>6399</v>
      </c>
      <c r="E1811" t="str">
        <f t="shared" si="556"/>
        <v>00</v>
      </c>
      <c r="F1811" t="str">
        <f>"041"</f>
        <v>041</v>
      </c>
      <c r="G1811">
        <v>5</v>
      </c>
      <c r="H1811" t="str">
        <f t="shared" si="557"/>
        <v>11</v>
      </c>
      <c r="I1811" t="str">
        <f t="shared" si="554"/>
        <v>0</v>
      </c>
      <c r="J1811" t="str">
        <f t="shared" si="552"/>
        <v>00</v>
      </c>
      <c r="K1811">
        <v>20150716</v>
      </c>
      <c r="L1811" t="str">
        <f t="shared" si="558"/>
        <v>015098</v>
      </c>
      <c r="M1811" t="str">
        <f t="shared" si="559"/>
        <v>00701</v>
      </c>
      <c r="N1811" t="s">
        <v>120</v>
      </c>
      <c r="O1811">
        <v>183.54</v>
      </c>
      <c r="Q1811" t="s">
        <v>33</v>
      </c>
      <c r="R1811" t="s">
        <v>34</v>
      </c>
      <c r="S1811" t="s">
        <v>35</v>
      </c>
      <c r="T1811" t="s">
        <v>35</v>
      </c>
      <c r="U1811" t="s">
        <v>34</v>
      </c>
      <c r="V1811" t="str">
        <f>""</f>
        <v/>
      </c>
      <c r="W1811">
        <v>20150714</v>
      </c>
      <c r="X1811" t="s">
        <v>241</v>
      </c>
      <c r="Y1811" t="s">
        <v>399</v>
      </c>
      <c r="Z1811" t="s">
        <v>399</v>
      </c>
      <c r="AA1811">
        <v>0</v>
      </c>
      <c r="AB1811" t="s">
        <v>142</v>
      </c>
      <c r="AC1811" t="s">
        <v>41</v>
      </c>
      <c r="AD1811" t="s">
        <v>40</v>
      </c>
      <c r="AE1811" t="str">
        <f t="shared" si="560"/>
        <v>07</v>
      </c>
      <c r="AF1811" t="s">
        <v>40</v>
      </c>
    </row>
    <row r="1812" spans="1:32" x14ac:dyDescent="0.25">
      <c r="A1812">
        <v>5</v>
      </c>
      <c r="B1812">
        <v>420</v>
      </c>
      <c r="C1812" t="str">
        <f t="shared" si="555"/>
        <v>11</v>
      </c>
      <c r="D1812">
        <v>6399</v>
      </c>
      <c r="E1812" t="str">
        <f t="shared" si="556"/>
        <v>00</v>
      </c>
      <c r="F1812" t="str">
        <f>"101"</f>
        <v>101</v>
      </c>
      <c r="G1812">
        <v>5</v>
      </c>
      <c r="H1812" t="str">
        <f t="shared" si="557"/>
        <v>11</v>
      </c>
      <c r="I1812" t="str">
        <f t="shared" si="554"/>
        <v>0</v>
      </c>
      <c r="J1812" t="str">
        <f t="shared" si="552"/>
        <v>00</v>
      </c>
      <c r="K1812">
        <v>20150716</v>
      </c>
      <c r="L1812" t="str">
        <f t="shared" si="558"/>
        <v>015098</v>
      </c>
      <c r="M1812" t="str">
        <f t="shared" si="559"/>
        <v>00701</v>
      </c>
      <c r="N1812" t="s">
        <v>120</v>
      </c>
      <c r="O1812">
        <v>1.79</v>
      </c>
      <c r="Q1812" t="s">
        <v>33</v>
      </c>
      <c r="R1812" t="s">
        <v>34</v>
      </c>
      <c r="S1812" t="s">
        <v>35</v>
      </c>
      <c r="T1812" t="s">
        <v>35</v>
      </c>
      <c r="U1812" t="s">
        <v>34</v>
      </c>
      <c r="V1812" t="str">
        <f>""</f>
        <v/>
      </c>
      <c r="W1812">
        <v>20150714</v>
      </c>
      <c r="X1812" t="s">
        <v>246</v>
      </c>
      <c r="Y1812" t="s">
        <v>399</v>
      </c>
      <c r="Z1812" t="s">
        <v>399</v>
      </c>
      <c r="AA1812">
        <v>0</v>
      </c>
      <c r="AB1812" t="s">
        <v>142</v>
      </c>
      <c r="AC1812" t="s">
        <v>41</v>
      </c>
      <c r="AD1812" t="s">
        <v>40</v>
      </c>
      <c r="AE1812" t="str">
        <f t="shared" si="560"/>
        <v>07</v>
      </c>
      <c r="AF1812" t="s">
        <v>40</v>
      </c>
    </row>
    <row r="1813" spans="1:32" x14ac:dyDescent="0.25">
      <c r="A1813">
        <v>5</v>
      </c>
      <c r="B1813">
        <v>420</v>
      </c>
      <c r="C1813" t="str">
        <f t="shared" si="555"/>
        <v>11</v>
      </c>
      <c r="D1813">
        <v>6399</v>
      </c>
      <c r="E1813" t="str">
        <f t="shared" si="556"/>
        <v>00</v>
      </c>
      <c r="F1813" t="str">
        <f>"101"</f>
        <v>101</v>
      </c>
      <c r="G1813">
        <v>5</v>
      </c>
      <c r="H1813" t="str">
        <f t="shared" si="557"/>
        <v>11</v>
      </c>
      <c r="I1813" t="str">
        <f t="shared" si="554"/>
        <v>0</v>
      </c>
      <c r="J1813" t="str">
        <f t="shared" si="552"/>
        <v>00</v>
      </c>
      <c r="K1813">
        <v>20150716</v>
      </c>
      <c r="L1813" t="str">
        <f t="shared" si="558"/>
        <v>015098</v>
      </c>
      <c r="M1813" t="str">
        <f t="shared" si="559"/>
        <v>00701</v>
      </c>
      <c r="N1813" t="s">
        <v>120</v>
      </c>
      <c r="O1813">
        <v>15.09</v>
      </c>
      <c r="Q1813" t="s">
        <v>33</v>
      </c>
      <c r="R1813" t="s">
        <v>34</v>
      </c>
      <c r="S1813" t="s">
        <v>35</v>
      </c>
      <c r="T1813" t="s">
        <v>35</v>
      </c>
      <c r="U1813" t="s">
        <v>34</v>
      </c>
      <c r="V1813" t="str">
        <f>""</f>
        <v/>
      </c>
      <c r="W1813">
        <v>20150714</v>
      </c>
      <c r="X1813" t="s">
        <v>246</v>
      </c>
      <c r="Y1813" t="s">
        <v>399</v>
      </c>
      <c r="Z1813" t="s">
        <v>399</v>
      </c>
      <c r="AA1813">
        <v>0</v>
      </c>
      <c r="AB1813" t="s">
        <v>142</v>
      </c>
      <c r="AC1813" t="s">
        <v>41</v>
      </c>
      <c r="AD1813" t="s">
        <v>40</v>
      </c>
      <c r="AE1813" t="str">
        <f t="shared" si="560"/>
        <v>07</v>
      </c>
      <c r="AF1813" t="s">
        <v>40</v>
      </c>
    </row>
    <row r="1814" spans="1:32" x14ac:dyDescent="0.25">
      <c r="A1814">
        <v>5</v>
      </c>
      <c r="B1814">
        <v>420</v>
      </c>
      <c r="C1814" t="str">
        <f t="shared" si="555"/>
        <v>11</v>
      </c>
      <c r="D1814">
        <v>6399</v>
      </c>
      <c r="E1814" t="str">
        <f t="shared" si="556"/>
        <v>00</v>
      </c>
      <c r="F1814" t="str">
        <f>"101"</f>
        <v>101</v>
      </c>
      <c r="G1814">
        <v>5</v>
      </c>
      <c r="H1814" t="str">
        <f t="shared" si="557"/>
        <v>11</v>
      </c>
      <c r="I1814" t="str">
        <f t="shared" si="554"/>
        <v>0</v>
      </c>
      <c r="J1814" t="str">
        <f t="shared" si="552"/>
        <v>00</v>
      </c>
      <c r="K1814">
        <v>20150716</v>
      </c>
      <c r="L1814" t="str">
        <f t="shared" si="558"/>
        <v>015098</v>
      </c>
      <c r="M1814" t="str">
        <f t="shared" si="559"/>
        <v>00701</v>
      </c>
      <c r="N1814" t="s">
        <v>120</v>
      </c>
      <c r="O1814">
        <v>24.28</v>
      </c>
      <c r="Q1814" t="s">
        <v>33</v>
      </c>
      <c r="R1814" t="s">
        <v>34</v>
      </c>
      <c r="S1814" t="s">
        <v>35</v>
      </c>
      <c r="T1814" t="s">
        <v>35</v>
      </c>
      <c r="U1814" t="s">
        <v>34</v>
      </c>
      <c r="V1814" t="str">
        <f>""</f>
        <v/>
      </c>
      <c r="W1814">
        <v>20150714</v>
      </c>
      <c r="X1814" t="s">
        <v>246</v>
      </c>
      <c r="Y1814" t="s">
        <v>399</v>
      </c>
      <c r="Z1814" t="s">
        <v>399</v>
      </c>
      <c r="AA1814">
        <v>0</v>
      </c>
      <c r="AB1814" t="s">
        <v>142</v>
      </c>
      <c r="AC1814" t="s">
        <v>41</v>
      </c>
      <c r="AD1814" t="s">
        <v>40</v>
      </c>
      <c r="AE1814" t="str">
        <f t="shared" si="560"/>
        <v>07</v>
      </c>
      <c r="AF1814" t="s">
        <v>40</v>
      </c>
    </row>
    <row r="1815" spans="1:32" x14ac:dyDescent="0.25">
      <c r="A1815">
        <v>5</v>
      </c>
      <c r="B1815">
        <v>420</v>
      </c>
      <c r="C1815" t="str">
        <f t="shared" si="555"/>
        <v>11</v>
      </c>
      <c r="D1815">
        <v>6399</v>
      </c>
      <c r="E1815" t="str">
        <f t="shared" si="556"/>
        <v>00</v>
      </c>
      <c r="F1815" t="str">
        <f>"101"</f>
        <v>101</v>
      </c>
      <c r="G1815">
        <v>5</v>
      </c>
      <c r="H1815" t="str">
        <f t="shared" si="557"/>
        <v>11</v>
      </c>
      <c r="I1815" t="str">
        <f t="shared" si="554"/>
        <v>0</v>
      </c>
      <c r="J1815" t="str">
        <f t="shared" si="552"/>
        <v>00</v>
      </c>
      <c r="K1815">
        <v>20150716</v>
      </c>
      <c r="L1815" t="str">
        <f t="shared" si="558"/>
        <v>015098</v>
      </c>
      <c r="M1815" t="str">
        <f t="shared" si="559"/>
        <v>00701</v>
      </c>
      <c r="N1815" t="s">
        <v>120</v>
      </c>
      <c r="O1815">
        <v>780.05</v>
      </c>
      <c r="Q1815" t="s">
        <v>33</v>
      </c>
      <c r="R1815" t="s">
        <v>34</v>
      </c>
      <c r="S1815" t="s">
        <v>35</v>
      </c>
      <c r="T1815" t="s">
        <v>35</v>
      </c>
      <c r="U1815" t="s">
        <v>34</v>
      </c>
      <c r="V1815" t="str">
        <f>""</f>
        <v/>
      </c>
      <c r="W1815">
        <v>20150714</v>
      </c>
      <c r="X1815" t="s">
        <v>246</v>
      </c>
      <c r="Y1815" t="s">
        <v>399</v>
      </c>
      <c r="Z1815" t="s">
        <v>399</v>
      </c>
      <c r="AA1815">
        <v>0</v>
      </c>
      <c r="AB1815" t="s">
        <v>142</v>
      </c>
      <c r="AC1815" t="s">
        <v>41</v>
      </c>
      <c r="AD1815" t="s">
        <v>40</v>
      </c>
      <c r="AE1815" t="str">
        <f t="shared" si="560"/>
        <v>07</v>
      </c>
      <c r="AF1815" t="s">
        <v>40</v>
      </c>
    </row>
    <row r="1816" spans="1:32" x14ac:dyDescent="0.25">
      <c r="A1816">
        <v>5</v>
      </c>
      <c r="B1816">
        <v>420</v>
      </c>
      <c r="C1816" t="str">
        <f>"51"</f>
        <v>51</v>
      </c>
      <c r="D1816">
        <v>6259</v>
      </c>
      <c r="E1816" t="str">
        <f>"53"</f>
        <v>53</v>
      </c>
      <c r="F1816" t="str">
        <f>"999"</f>
        <v>999</v>
      </c>
      <c r="G1816">
        <v>5</v>
      </c>
      <c r="H1816" t="str">
        <f t="shared" ref="H1816:H1822" si="561">"99"</f>
        <v>99</v>
      </c>
      <c r="I1816" t="str">
        <f t="shared" si="554"/>
        <v>0</v>
      </c>
      <c r="J1816" t="str">
        <f t="shared" si="552"/>
        <v>00</v>
      </c>
      <c r="K1816">
        <v>20150716</v>
      </c>
      <c r="L1816" t="str">
        <f>"015099"</f>
        <v>015099</v>
      </c>
      <c r="M1816" t="str">
        <f>"00581"</f>
        <v>00581</v>
      </c>
      <c r="N1816" t="s">
        <v>248</v>
      </c>
      <c r="O1816">
        <v>480.59</v>
      </c>
      <c r="Q1816" t="s">
        <v>33</v>
      </c>
      <c r="R1816" t="s">
        <v>34</v>
      </c>
      <c r="S1816" t="s">
        <v>35</v>
      </c>
      <c r="T1816" t="s">
        <v>35</v>
      </c>
      <c r="U1816" t="s">
        <v>34</v>
      </c>
      <c r="V1816" t="str">
        <f>""</f>
        <v/>
      </c>
      <c r="W1816">
        <v>20150714</v>
      </c>
      <c r="X1816" t="s">
        <v>228</v>
      </c>
      <c r="Y1816" t="s">
        <v>915</v>
      </c>
      <c r="Z1816" t="s">
        <v>915</v>
      </c>
      <c r="AA1816">
        <v>0</v>
      </c>
      <c r="AB1816" t="s">
        <v>142</v>
      </c>
      <c r="AC1816" t="s">
        <v>143</v>
      </c>
      <c r="AD1816" t="s">
        <v>40</v>
      </c>
      <c r="AE1816" t="str">
        <f t="shared" si="560"/>
        <v>07</v>
      </c>
      <c r="AF1816" t="s">
        <v>40</v>
      </c>
    </row>
    <row r="1817" spans="1:32" x14ac:dyDescent="0.25">
      <c r="A1817">
        <v>5</v>
      </c>
      <c r="B1817">
        <v>420</v>
      </c>
      <c r="C1817" t="str">
        <f>"41"</f>
        <v>41</v>
      </c>
      <c r="D1817">
        <v>6219</v>
      </c>
      <c r="E1817" t="str">
        <f t="shared" ref="E1817:E1848" si="562">"00"</f>
        <v>00</v>
      </c>
      <c r="F1817" t="str">
        <f>"750"</f>
        <v>750</v>
      </c>
      <c r="G1817">
        <v>5</v>
      </c>
      <c r="H1817" t="str">
        <f t="shared" si="561"/>
        <v>99</v>
      </c>
      <c r="I1817" t="str">
        <f t="shared" si="554"/>
        <v>0</v>
      </c>
      <c r="J1817" t="str">
        <f t="shared" si="552"/>
        <v>00</v>
      </c>
      <c r="K1817">
        <v>20150716</v>
      </c>
      <c r="L1817" t="str">
        <f>"015100"</f>
        <v>015100</v>
      </c>
      <c r="M1817" t="str">
        <f>"00591"</f>
        <v>00591</v>
      </c>
      <c r="N1817" t="s">
        <v>272</v>
      </c>
      <c r="O1817" s="1">
        <v>4344.32</v>
      </c>
      <c r="Q1817" t="s">
        <v>33</v>
      </c>
      <c r="R1817" t="s">
        <v>34</v>
      </c>
      <c r="S1817" t="s">
        <v>35</v>
      </c>
      <c r="T1817" t="s">
        <v>35</v>
      </c>
      <c r="U1817" t="s">
        <v>34</v>
      </c>
      <c r="V1817" t="str">
        <f>""</f>
        <v/>
      </c>
      <c r="W1817">
        <v>20150715</v>
      </c>
      <c r="X1817" t="s">
        <v>255</v>
      </c>
      <c r="Y1817" t="s">
        <v>915</v>
      </c>
      <c r="Z1817" t="s">
        <v>915</v>
      </c>
      <c r="AA1817">
        <v>0</v>
      </c>
      <c r="AB1817" t="s">
        <v>142</v>
      </c>
      <c r="AC1817" t="s">
        <v>170</v>
      </c>
      <c r="AD1817" t="s">
        <v>40</v>
      </c>
      <c r="AE1817" t="str">
        <f t="shared" si="560"/>
        <v>07</v>
      </c>
      <c r="AF1817" t="s">
        <v>40</v>
      </c>
    </row>
    <row r="1818" spans="1:32" x14ac:dyDescent="0.25">
      <c r="A1818">
        <v>5</v>
      </c>
      <c r="B1818">
        <v>420</v>
      </c>
      <c r="C1818" t="str">
        <f>"51"</f>
        <v>51</v>
      </c>
      <c r="D1818">
        <v>6299</v>
      </c>
      <c r="E1818" t="str">
        <f t="shared" si="562"/>
        <v>00</v>
      </c>
      <c r="F1818" t="str">
        <f>"999"</f>
        <v>999</v>
      </c>
      <c r="G1818">
        <v>5</v>
      </c>
      <c r="H1818" t="str">
        <f t="shared" si="561"/>
        <v>99</v>
      </c>
      <c r="I1818" t="str">
        <f t="shared" si="554"/>
        <v>0</v>
      </c>
      <c r="J1818" t="str">
        <f t="shared" si="552"/>
        <v>00</v>
      </c>
      <c r="K1818">
        <v>20150716</v>
      </c>
      <c r="L1818" t="str">
        <f>"015101"</f>
        <v>015101</v>
      </c>
      <c r="M1818" t="str">
        <f>"00577"</f>
        <v>00577</v>
      </c>
      <c r="N1818" t="s">
        <v>251</v>
      </c>
      <c r="O1818">
        <v>89.35</v>
      </c>
      <c r="Q1818" t="s">
        <v>33</v>
      </c>
      <c r="R1818" t="s">
        <v>34</v>
      </c>
      <c r="S1818" t="s">
        <v>35</v>
      </c>
      <c r="T1818" t="s">
        <v>35</v>
      </c>
      <c r="U1818" t="s">
        <v>34</v>
      </c>
      <c r="V1818" t="str">
        <f>""</f>
        <v/>
      </c>
      <c r="W1818">
        <v>20150716</v>
      </c>
      <c r="X1818" t="s">
        <v>203</v>
      </c>
      <c r="Y1818" t="s">
        <v>253</v>
      </c>
      <c r="Z1818" t="s">
        <v>253</v>
      </c>
      <c r="AA1818">
        <v>0</v>
      </c>
      <c r="AB1818" t="s">
        <v>142</v>
      </c>
      <c r="AC1818" t="s">
        <v>143</v>
      </c>
      <c r="AD1818" t="s">
        <v>40</v>
      </c>
      <c r="AE1818" t="str">
        <f t="shared" si="560"/>
        <v>07</v>
      </c>
      <c r="AF1818" t="s">
        <v>40</v>
      </c>
    </row>
    <row r="1819" spans="1:32" x14ac:dyDescent="0.25">
      <c r="A1819">
        <v>5</v>
      </c>
      <c r="B1819">
        <v>420</v>
      </c>
      <c r="C1819" t="str">
        <f>"41"</f>
        <v>41</v>
      </c>
      <c r="D1819">
        <v>6211</v>
      </c>
      <c r="E1819" t="str">
        <f t="shared" si="562"/>
        <v>00</v>
      </c>
      <c r="F1819" t="str">
        <f>"750"</f>
        <v>750</v>
      </c>
      <c r="G1819">
        <v>5</v>
      </c>
      <c r="H1819" t="str">
        <f t="shared" si="561"/>
        <v>99</v>
      </c>
      <c r="I1819" t="str">
        <f t="shared" si="554"/>
        <v>0</v>
      </c>
      <c r="J1819" t="str">
        <f t="shared" si="552"/>
        <v>00</v>
      </c>
      <c r="K1819">
        <v>20150716</v>
      </c>
      <c r="L1819" t="str">
        <f>"015102"</f>
        <v>015102</v>
      </c>
      <c r="M1819" t="str">
        <f>"00808"</f>
        <v>00808</v>
      </c>
      <c r="N1819" t="s">
        <v>944</v>
      </c>
      <c r="O1819">
        <v>51</v>
      </c>
      <c r="Q1819" t="s">
        <v>33</v>
      </c>
      <c r="R1819" t="s">
        <v>34</v>
      </c>
      <c r="S1819" t="s">
        <v>35</v>
      </c>
      <c r="T1819" t="s">
        <v>35</v>
      </c>
      <c r="U1819" t="s">
        <v>34</v>
      </c>
      <c r="V1819" t="str">
        <f>""</f>
        <v/>
      </c>
      <c r="W1819">
        <v>20150714</v>
      </c>
      <c r="X1819" t="s">
        <v>945</v>
      </c>
      <c r="Y1819" t="s">
        <v>946</v>
      </c>
      <c r="Z1819" t="s">
        <v>946</v>
      </c>
      <c r="AA1819">
        <v>0</v>
      </c>
      <c r="AB1819" t="s">
        <v>142</v>
      </c>
      <c r="AC1819" t="s">
        <v>170</v>
      </c>
      <c r="AD1819" t="s">
        <v>40</v>
      </c>
      <c r="AE1819" t="str">
        <f t="shared" si="560"/>
        <v>07</v>
      </c>
      <c r="AF1819" t="s">
        <v>40</v>
      </c>
    </row>
    <row r="1820" spans="1:32" x14ac:dyDescent="0.25">
      <c r="A1820">
        <v>5</v>
      </c>
      <c r="B1820">
        <v>420</v>
      </c>
      <c r="C1820" t="str">
        <f>"41"</f>
        <v>41</v>
      </c>
      <c r="D1820">
        <v>6211</v>
      </c>
      <c r="E1820" t="str">
        <f t="shared" si="562"/>
        <v>00</v>
      </c>
      <c r="F1820" t="str">
        <f>"750"</f>
        <v>750</v>
      </c>
      <c r="G1820">
        <v>5</v>
      </c>
      <c r="H1820" t="str">
        <f t="shared" si="561"/>
        <v>99</v>
      </c>
      <c r="I1820" t="str">
        <f t="shared" si="554"/>
        <v>0</v>
      </c>
      <c r="J1820" t="str">
        <f t="shared" si="552"/>
        <v>00</v>
      </c>
      <c r="K1820">
        <v>20150716</v>
      </c>
      <c r="L1820" t="str">
        <f>"015102"</f>
        <v>015102</v>
      </c>
      <c r="M1820" t="str">
        <f>"00808"</f>
        <v>00808</v>
      </c>
      <c r="N1820" t="s">
        <v>944</v>
      </c>
      <c r="O1820">
        <v>76.5</v>
      </c>
      <c r="Q1820" t="s">
        <v>33</v>
      </c>
      <c r="R1820" t="s">
        <v>34</v>
      </c>
      <c r="S1820" t="s">
        <v>35</v>
      </c>
      <c r="T1820" t="s">
        <v>35</v>
      </c>
      <c r="U1820" t="s">
        <v>34</v>
      </c>
      <c r="V1820" t="str">
        <f>""</f>
        <v/>
      </c>
      <c r="W1820">
        <v>20150714</v>
      </c>
      <c r="X1820" t="s">
        <v>945</v>
      </c>
      <c r="Y1820" t="s">
        <v>946</v>
      </c>
      <c r="Z1820" t="s">
        <v>946</v>
      </c>
      <c r="AA1820">
        <v>0</v>
      </c>
      <c r="AB1820" t="s">
        <v>142</v>
      </c>
      <c r="AC1820" t="s">
        <v>170</v>
      </c>
      <c r="AD1820" t="s">
        <v>40</v>
      </c>
      <c r="AE1820" t="str">
        <f t="shared" si="560"/>
        <v>07</v>
      </c>
      <c r="AF1820" t="s">
        <v>40</v>
      </c>
    </row>
    <row r="1821" spans="1:32" x14ac:dyDescent="0.25">
      <c r="A1821">
        <v>5</v>
      </c>
      <c r="B1821">
        <v>420</v>
      </c>
      <c r="C1821" t="str">
        <f>"41"</f>
        <v>41</v>
      </c>
      <c r="D1821">
        <v>6211</v>
      </c>
      <c r="E1821" t="str">
        <f t="shared" si="562"/>
        <v>00</v>
      </c>
      <c r="F1821" t="str">
        <f>"750"</f>
        <v>750</v>
      </c>
      <c r="G1821">
        <v>5</v>
      </c>
      <c r="H1821" t="str">
        <f t="shared" si="561"/>
        <v>99</v>
      </c>
      <c r="I1821" t="str">
        <f t="shared" si="554"/>
        <v>0</v>
      </c>
      <c r="J1821" t="str">
        <f t="shared" si="552"/>
        <v>00</v>
      </c>
      <c r="K1821">
        <v>20150716</v>
      </c>
      <c r="L1821" t="str">
        <f>"015102"</f>
        <v>015102</v>
      </c>
      <c r="M1821" t="str">
        <f>"00808"</f>
        <v>00808</v>
      </c>
      <c r="N1821" t="s">
        <v>944</v>
      </c>
      <c r="O1821">
        <v>150</v>
      </c>
      <c r="Q1821" t="s">
        <v>33</v>
      </c>
      <c r="R1821" t="s">
        <v>34</v>
      </c>
      <c r="S1821" t="s">
        <v>35</v>
      </c>
      <c r="T1821" t="s">
        <v>35</v>
      </c>
      <c r="U1821" t="s">
        <v>34</v>
      </c>
      <c r="V1821" t="str">
        <f>""</f>
        <v/>
      </c>
      <c r="W1821">
        <v>20150714</v>
      </c>
      <c r="X1821" t="s">
        <v>945</v>
      </c>
      <c r="Y1821" t="s">
        <v>946</v>
      </c>
      <c r="Z1821" t="s">
        <v>946</v>
      </c>
      <c r="AA1821">
        <v>0</v>
      </c>
      <c r="AB1821" t="s">
        <v>142</v>
      </c>
      <c r="AC1821" t="s">
        <v>170</v>
      </c>
      <c r="AD1821" t="s">
        <v>40</v>
      </c>
      <c r="AE1821" t="str">
        <f t="shared" si="560"/>
        <v>07</v>
      </c>
      <c r="AF1821" t="s">
        <v>40</v>
      </c>
    </row>
    <row r="1822" spans="1:32" x14ac:dyDescent="0.25">
      <c r="A1822">
        <v>5</v>
      </c>
      <c r="B1822">
        <v>420</v>
      </c>
      <c r="C1822" t="str">
        <f>"41"</f>
        <v>41</v>
      </c>
      <c r="D1822">
        <v>6219</v>
      </c>
      <c r="E1822" t="str">
        <f t="shared" si="562"/>
        <v>00</v>
      </c>
      <c r="F1822" t="str">
        <f>"750"</f>
        <v>750</v>
      </c>
      <c r="G1822">
        <v>5</v>
      </c>
      <c r="H1822" t="str">
        <f t="shared" si="561"/>
        <v>99</v>
      </c>
      <c r="I1822" t="str">
        <f t="shared" si="554"/>
        <v>0</v>
      </c>
      <c r="J1822" t="str">
        <f t="shared" si="552"/>
        <v>00</v>
      </c>
      <c r="K1822">
        <v>20150716</v>
      </c>
      <c r="L1822" t="str">
        <f>"015103"</f>
        <v>015103</v>
      </c>
      <c r="M1822" t="str">
        <f>"00377"</f>
        <v>00377</v>
      </c>
      <c r="N1822" t="s">
        <v>254</v>
      </c>
      <c r="O1822">
        <v>27</v>
      </c>
      <c r="Q1822" t="s">
        <v>33</v>
      </c>
      <c r="R1822" t="s">
        <v>34</v>
      </c>
      <c r="S1822" t="s">
        <v>35</v>
      </c>
      <c r="T1822" t="s">
        <v>35</v>
      </c>
      <c r="U1822" t="s">
        <v>34</v>
      </c>
      <c r="V1822" t="str">
        <f>""</f>
        <v/>
      </c>
      <c r="W1822">
        <v>20150715</v>
      </c>
      <c r="X1822" t="s">
        <v>255</v>
      </c>
      <c r="Y1822" t="s">
        <v>592</v>
      </c>
      <c r="Z1822" t="s">
        <v>592</v>
      </c>
      <c r="AA1822">
        <v>0</v>
      </c>
      <c r="AB1822" t="s">
        <v>142</v>
      </c>
      <c r="AC1822" t="s">
        <v>170</v>
      </c>
      <c r="AD1822" t="s">
        <v>40</v>
      </c>
      <c r="AE1822" t="str">
        <f t="shared" si="560"/>
        <v>07</v>
      </c>
      <c r="AF1822" t="s">
        <v>40</v>
      </c>
    </row>
    <row r="1823" spans="1:32" x14ac:dyDescent="0.25">
      <c r="A1823">
        <v>5</v>
      </c>
      <c r="B1823">
        <v>420</v>
      </c>
      <c r="C1823" t="str">
        <f t="shared" ref="C1823:C1829" si="563">"11"</f>
        <v>11</v>
      </c>
      <c r="D1823">
        <v>6339</v>
      </c>
      <c r="E1823" t="str">
        <f t="shared" si="562"/>
        <v>00</v>
      </c>
      <c r="F1823" t="str">
        <f>"001"</f>
        <v>001</v>
      </c>
      <c r="G1823">
        <v>5</v>
      </c>
      <c r="H1823" t="str">
        <f t="shared" ref="H1823:H1829" si="564">"11"</f>
        <v>11</v>
      </c>
      <c r="I1823" t="str">
        <f t="shared" si="554"/>
        <v>0</v>
      </c>
      <c r="J1823" t="str">
        <f t="shared" si="552"/>
        <v>00</v>
      </c>
      <c r="K1823">
        <v>20150723</v>
      </c>
      <c r="L1823" t="str">
        <f t="shared" ref="L1823:L1833" si="565">"015104"</f>
        <v>015104</v>
      </c>
      <c r="M1823" t="str">
        <f t="shared" ref="M1823:M1833" si="566">"00015"</f>
        <v>00015</v>
      </c>
      <c r="N1823" t="s">
        <v>44</v>
      </c>
      <c r="O1823">
        <v>110</v>
      </c>
      <c r="Q1823" t="s">
        <v>33</v>
      </c>
      <c r="R1823" t="s">
        <v>34</v>
      </c>
      <c r="S1823" t="s">
        <v>35</v>
      </c>
      <c r="T1823" t="s">
        <v>35</v>
      </c>
      <c r="U1823" t="s">
        <v>34</v>
      </c>
      <c r="V1823" t="str">
        <f>""</f>
        <v/>
      </c>
      <c r="W1823">
        <v>20150716</v>
      </c>
      <c r="X1823" t="s">
        <v>662</v>
      </c>
      <c r="Y1823" t="s">
        <v>947</v>
      </c>
      <c r="Z1823" t="s">
        <v>947</v>
      </c>
      <c r="AA1823">
        <v>0</v>
      </c>
      <c r="AB1823" t="s">
        <v>142</v>
      </c>
      <c r="AC1823" t="s">
        <v>41</v>
      </c>
      <c r="AD1823" t="s">
        <v>40</v>
      </c>
      <c r="AE1823" t="str">
        <f t="shared" si="560"/>
        <v>07</v>
      </c>
      <c r="AF1823" t="s">
        <v>40</v>
      </c>
    </row>
    <row r="1824" spans="1:32" x14ac:dyDescent="0.25">
      <c r="A1824">
        <v>5</v>
      </c>
      <c r="B1824">
        <v>420</v>
      </c>
      <c r="C1824" t="str">
        <f t="shared" si="563"/>
        <v>11</v>
      </c>
      <c r="D1824">
        <v>6339</v>
      </c>
      <c r="E1824" t="str">
        <f t="shared" si="562"/>
        <v>00</v>
      </c>
      <c r="F1824" t="str">
        <f>"001"</f>
        <v>001</v>
      </c>
      <c r="G1824">
        <v>5</v>
      </c>
      <c r="H1824" t="str">
        <f t="shared" si="564"/>
        <v>11</v>
      </c>
      <c r="I1824" t="str">
        <f t="shared" si="554"/>
        <v>0</v>
      </c>
      <c r="J1824" t="str">
        <f t="shared" si="552"/>
        <v>00</v>
      </c>
      <c r="K1824">
        <v>20150723</v>
      </c>
      <c r="L1824" t="str">
        <f t="shared" si="565"/>
        <v>015104</v>
      </c>
      <c r="M1824" t="str">
        <f t="shared" si="566"/>
        <v>00015</v>
      </c>
      <c r="N1824" t="s">
        <v>44</v>
      </c>
      <c r="O1824">
        <v>165</v>
      </c>
      <c r="Q1824" t="s">
        <v>33</v>
      </c>
      <c r="R1824" t="s">
        <v>34</v>
      </c>
      <c r="S1824" t="s">
        <v>35</v>
      </c>
      <c r="T1824" t="s">
        <v>35</v>
      </c>
      <c r="U1824" t="s">
        <v>34</v>
      </c>
      <c r="V1824" t="str">
        <f>""</f>
        <v/>
      </c>
      <c r="W1824">
        <v>20150716</v>
      </c>
      <c r="X1824" t="s">
        <v>662</v>
      </c>
      <c r="Y1824" t="s">
        <v>947</v>
      </c>
      <c r="Z1824" t="s">
        <v>947</v>
      </c>
      <c r="AA1824">
        <v>0</v>
      </c>
      <c r="AB1824" t="s">
        <v>142</v>
      </c>
      <c r="AC1824" t="s">
        <v>41</v>
      </c>
      <c r="AD1824" t="s">
        <v>40</v>
      </c>
      <c r="AE1824" t="str">
        <f t="shared" si="560"/>
        <v>07</v>
      </c>
      <c r="AF1824" t="s">
        <v>40</v>
      </c>
    </row>
    <row r="1825" spans="1:32" x14ac:dyDescent="0.25">
      <c r="A1825">
        <v>5</v>
      </c>
      <c r="B1825">
        <v>420</v>
      </c>
      <c r="C1825" t="str">
        <f t="shared" si="563"/>
        <v>11</v>
      </c>
      <c r="D1825">
        <v>6339</v>
      </c>
      <c r="E1825" t="str">
        <f t="shared" si="562"/>
        <v>00</v>
      </c>
      <c r="F1825" t="str">
        <f>"001"</f>
        <v>001</v>
      </c>
      <c r="G1825">
        <v>5</v>
      </c>
      <c r="H1825" t="str">
        <f t="shared" si="564"/>
        <v>11</v>
      </c>
      <c r="I1825" t="str">
        <f t="shared" si="554"/>
        <v>0</v>
      </c>
      <c r="J1825" t="str">
        <f t="shared" si="552"/>
        <v>00</v>
      </c>
      <c r="K1825">
        <v>20150723</v>
      </c>
      <c r="L1825" t="str">
        <f t="shared" si="565"/>
        <v>015104</v>
      </c>
      <c r="M1825" t="str">
        <f t="shared" si="566"/>
        <v>00015</v>
      </c>
      <c r="N1825" t="s">
        <v>44</v>
      </c>
      <c r="O1825">
        <v>220</v>
      </c>
      <c r="Q1825" t="s">
        <v>33</v>
      </c>
      <c r="R1825" t="s">
        <v>34</v>
      </c>
      <c r="S1825" t="s">
        <v>35</v>
      </c>
      <c r="T1825" t="s">
        <v>35</v>
      </c>
      <c r="U1825" t="s">
        <v>34</v>
      </c>
      <c r="V1825" t="str">
        <f>""</f>
        <v/>
      </c>
      <c r="W1825">
        <v>20150716</v>
      </c>
      <c r="X1825" t="s">
        <v>662</v>
      </c>
      <c r="Y1825" t="s">
        <v>947</v>
      </c>
      <c r="Z1825" t="s">
        <v>947</v>
      </c>
      <c r="AA1825">
        <v>0</v>
      </c>
      <c r="AB1825" t="s">
        <v>142</v>
      </c>
      <c r="AC1825" t="s">
        <v>41</v>
      </c>
      <c r="AD1825" t="s">
        <v>40</v>
      </c>
      <c r="AE1825" t="str">
        <f t="shared" si="560"/>
        <v>07</v>
      </c>
      <c r="AF1825" t="s">
        <v>40</v>
      </c>
    </row>
    <row r="1826" spans="1:32" x14ac:dyDescent="0.25">
      <c r="A1826">
        <v>5</v>
      </c>
      <c r="B1826">
        <v>420</v>
      </c>
      <c r="C1826" t="str">
        <f t="shared" si="563"/>
        <v>11</v>
      </c>
      <c r="D1826">
        <v>6399</v>
      </c>
      <c r="E1826" t="str">
        <f t="shared" si="562"/>
        <v>00</v>
      </c>
      <c r="F1826" t="str">
        <f>"001"</f>
        <v>001</v>
      </c>
      <c r="G1826">
        <v>5</v>
      </c>
      <c r="H1826" t="str">
        <f t="shared" si="564"/>
        <v>11</v>
      </c>
      <c r="I1826" t="str">
        <f t="shared" si="554"/>
        <v>0</v>
      </c>
      <c r="J1826" t="str">
        <f t="shared" si="552"/>
        <v>00</v>
      </c>
      <c r="K1826">
        <v>20150723</v>
      </c>
      <c r="L1826" t="str">
        <f t="shared" si="565"/>
        <v>015104</v>
      </c>
      <c r="M1826" t="str">
        <f t="shared" si="566"/>
        <v>00015</v>
      </c>
      <c r="N1826" t="s">
        <v>44</v>
      </c>
      <c r="O1826">
        <v>18.38</v>
      </c>
      <c r="Q1826" t="s">
        <v>33</v>
      </c>
      <c r="R1826" t="s">
        <v>34</v>
      </c>
      <c r="S1826" t="s">
        <v>35</v>
      </c>
      <c r="T1826" t="s">
        <v>35</v>
      </c>
      <c r="U1826" t="s">
        <v>34</v>
      </c>
      <c r="V1826" t="str">
        <f>""</f>
        <v/>
      </c>
      <c r="W1826">
        <v>20150716</v>
      </c>
      <c r="X1826" t="s">
        <v>239</v>
      </c>
      <c r="Y1826" t="s">
        <v>59</v>
      </c>
      <c r="Z1826" t="s">
        <v>59</v>
      </c>
      <c r="AA1826">
        <v>0</v>
      </c>
      <c r="AB1826" t="s">
        <v>142</v>
      </c>
      <c r="AC1826" t="s">
        <v>41</v>
      </c>
      <c r="AD1826" t="s">
        <v>40</v>
      </c>
      <c r="AE1826" t="str">
        <f t="shared" si="560"/>
        <v>07</v>
      </c>
      <c r="AF1826" t="s">
        <v>40</v>
      </c>
    </row>
    <row r="1827" spans="1:32" x14ac:dyDescent="0.25">
      <c r="A1827">
        <v>5</v>
      </c>
      <c r="B1827">
        <v>420</v>
      </c>
      <c r="C1827" t="str">
        <f t="shared" si="563"/>
        <v>11</v>
      </c>
      <c r="D1827">
        <v>6399</v>
      </c>
      <c r="E1827" t="str">
        <f t="shared" si="562"/>
        <v>00</v>
      </c>
      <c r="F1827" t="str">
        <f>"041"</f>
        <v>041</v>
      </c>
      <c r="G1827">
        <v>5</v>
      </c>
      <c r="H1827" t="str">
        <f t="shared" si="564"/>
        <v>11</v>
      </c>
      <c r="I1827" t="str">
        <f t="shared" si="554"/>
        <v>0</v>
      </c>
      <c r="J1827" t="str">
        <f t="shared" si="552"/>
        <v>00</v>
      </c>
      <c r="K1827">
        <v>20150723</v>
      </c>
      <c r="L1827" t="str">
        <f t="shared" si="565"/>
        <v>015104</v>
      </c>
      <c r="M1827" t="str">
        <f t="shared" si="566"/>
        <v>00015</v>
      </c>
      <c r="N1827" t="s">
        <v>44</v>
      </c>
      <c r="O1827">
        <v>18.38</v>
      </c>
      <c r="Q1827" t="s">
        <v>33</v>
      </c>
      <c r="R1827" t="s">
        <v>34</v>
      </c>
      <c r="S1827" t="s">
        <v>35</v>
      </c>
      <c r="T1827" t="s">
        <v>35</v>
      </c>
      <c r="U1827" t="s">
        <v>34</v>
      </c>
      <c r="V1827" t="str">
        <f>""</f>
        <v/>
      </c>
      <c r="W1827">
        <v>20150716</v>
      </c>
      <c r="X1827" t="s">
        <v>241</v>
      </c>
      <c r="Y1827" t="s">
        <v>59</v>
      </c>
      <c r="Z1827" t="s">
        <v>59</v>
      </c>
      <c r="AA1827">
        <v>0</v>
      </c>
      <c r="AB1827" t="s">
        <v>142</v>
      </c>
      <c r="AC1827" t="s">
        <v>41</v>
      </c>
      <c r="AD1827" t="s">
        <v>40</v>
      </c>
      <c r="AE1827" t="str">
        <f t="shared" si="560"/>
        <v>07</v>
      </c>
      <c r="AF1827" t="s">
        <v>40</v>
      </c>
    </row>
    <row r="1828" spans="1:32" x14ac:dyDescent="0.25">
      <c r="A1828">
        <v>5</v>
      </c>
      <c r="B1828">
        <v>420</v>
      </c>
      <c r="C1828" t="str">
        <f t="shared" si="563"/>
        <v>11</v>
      </c>
      <c r="D1828">
        <v>6399</v>
      </c>
      <c r="E1828" t="str">
        <f t="shared" si="562"/>
        <v>00</v>
      </c>
      <c r="F1828" t="str">
        <f>"101"</f>
        <v>101</v>
      </c>
      <c r="G1828">
        <v>5</v>
      </c>
      <c r="H1828" t="str">
        <f t="shared" si="564"/>
        <v>11</v>
      </c>
      <c r="I1828" t="str">
        <f t="shared" si="554"/>
        <v>0</v>
      </c>
      <c r="J1828" t="str">
        <f t="shared" si="552"/>
        <v>00</v>
      </c>
      <c r="K1828">
        <v>20150723</v>
      </c>
      <c r="L1828" t="str">
        <f t="shared" si="565"/>
        <v>015104</v>
      </c>
      <c r="M1828" t="str">
        <f t="shared" si="566"/>
        <v>00015</v>
      </c>
      <c r="N1828" t="s">
        <v>44</v>
      </c>
      <c r="O1828">
        <v>61.83</v>
      </c>
      <c r="Q1828" t="s">
        <v>33</v>
      </c>
      <c r="R1828" t="s">
        <v>34</v>
      </c>
      <c r="S1828" t="s">
        <v>35</v>
      </c>
      <c r="T1828" t="s">
        <v>35</v>
      </c>
      <c r="U1828" t="s">
        <v>34</v>
      </c>
      <c r="V1828" t="str">
        <f>""</f>
        <v/>
      </c>
      <c r="W1828">
        <v>20150716</v>
      </c>
      <c r="X1828" t="s">
        <v>246</v>
      </c>
      <c r="Y1828" t="s">
        <v>948</v>
      </c>
      <c r="Z1828" t="s">
        <v>948</v>
      </c>
      <c r="AA1828">
        <v>0</v>
      </c>
      <c r="AB1828" t="s">
        <v>142</v>
      </c>
      <c r="AC1828" t="s">
        <v>41</v>
      </c>
      <c r="AD1828" t="s">
        <v>40</v>
      </c>
      <c r="AE1828" t="str">
        <f t="shared" si="560"/>
        <v>07</v>
      </c>
      <c r="AF1828" t="s">
        <v>40</v>
      </c>
    </row>
    <row r="1829" spans="1:32" x14ac:dyDescent="0.25">
      <c r="A1829">
        <v>5</v>
      </c>
      <c r="B1829">
        <v>420</v>
      </c>
      <c r="C1829" t="str">
        <f t="shared" si="563"/>
        <v>11</v>
      </c>
      <c r="D1829">
        <v>6399</v>
      </c>
      <c r="E1829" t="str">
        <f t="shared" si="562"/>
        <v>00</v>
      </c>
      <c r="F1829" t="str">
        <f>"101"</f>
        <v>101</v>
      </c>
      <c r="G1829">
        <v>5</v>
      </c>
      <c r="H1829" t="str">
        <f t="shared" si="564"/>
        <v>11</v>
      </c>
      <c r="I1829" t="str">
        <f t="shared" si="554"/>
        <v>0</v>
      </c>
      <c r="J1829" t="str">
        <f t="shared" si="552"/>
        <v>00</v>
      </c>
      <c r="K1829">
        <v>20150723</v>
      </c>
      <c r="L1829" t="str">
        <f t="shared" si="565"/>
        <v>015104</v>
      </c>
      <c r="M1829" t="str">
        <f t="shared" si="566"/>
        <v>00015</v>
      </c>
      <c r="N1829" t="s">
        <v>44</v>
      </c>
      <c r="O1829">
        <v>52.95</v>
      </c>
      <c r="Q1829" t="s">
        <v>33</v>
      </c>
      <c r="R1829" t="s">
        <v>34</v>
      </c>
      <c r="S1829" t="s">
        <v>35</v>
      </c>
      <c r="T1829" t="s">
        <v>35</v>
      </c>
      <c r="U1829" t="s">
        <v>34</v>
      </c>
      <c r="V1829" t="str">
        <f>""</f>
        <v/>
      </c>
      <c r="W1829">
        <v>20150716</v>
      </c>
      <c r="X1829" t="s">
        <v>246</v>
      </c>
      <c r="Y1829" t="s">
        <v>59</v>
      </c>
      <c r="Z1829" t="s">
        <v>59</v>
      </c>
      <c r="AA1829">
        <v>0</v>
      </c>
      <c r="AB1829" t="s">
        <v>142</v>
      </c>
      <c r="AC1829" t="s">
        <v>41</v>
      </c>
      <c r="AD1829" t="s">
        <v>40</v>
      </c>
      <c r="AE1829" t="str">
        <f t="shared" si="560"/>
        <v>07</v>
      </c>
      <c r="AF1829" t="s">
        <v>40</v>
      </c>
    </row>
    <row r="1830" spans="1:32" x14ac:dyDescent="0.25">
      <c r="A1830">
        <v>5</v>
      </c>
      <c r="B1830">
        <v>420</v>
      </c>
      <c r="C1830" t="str">
        <f>"33"</f>
        <v>33</v>
      </c>
      <c r="D1830">
        <v>6219</v>
      </c>
      <c r="E1830" t="str">
        <f t="shared" si="562"/>
        <v>00</v>
      </c>
      <c r="F1830" t="str">
        <f t="shared" ref="F1830:F1841" si="567">"999"</f>
        <v>999</v>
      </c>
      <c r="G1830">
        <v>5</v>
      </c>
      <c r="H1830" t="str">
        <f>"99"</f>
        <v>99</v>
      </c>
      <c r="I1830" t="str">
        <f t="shared" si="554"/>
        <v>0</v>
      </c>
      <c r="J1830" t="str">
        <f t="shared" si="552"/>
        <v>00</v>
      </c>
      <c r="K1830">
        <v>20150723</v>
      </c>
      <c r="L1830" t="str">
        <f t="shared" si="565"/>
        <v>015104</v>
      </c>
      <c r="M1830" t="str">
        <f t="shared" si="566"/>
        <v>00015</v>
      </c>
      <c r="N1830" t="s">
        <v>44</v>
      </c>
      <c r="O1830">
        <v>233.26</v>
      </c>
      <c r="Q1830" t="s">
        <v>33</v>
      </c>
      <c r="R1830" t="s">
        <v>34</v>
      </c>
      <c r="S1830" t="s">
        <v>35</v>
      </c>
      <c r="T1830" t="s">
        <v>35</v>
      </c>
      <c r="U1830" t="s">
        <v>34</v>
      </c>
      <c r="V1830" t="str">
        <f>""</f>
        <v/>
      </c>
      <c r="W1830">
        <v>20150716</v>
      </c>
      <c r="X1830" t="s">
        <v>233</v>
      </c>
      <c r="Y1830" t="s">
        <v>949</v>
      </c>
      <c r="Z1830" t="s">
        <v>949</v>
      </c>
      <c r="AA1830">
        <v>0</v>
      </c>
      <c r="AB1830" t="s">
        <v>142</v>
      </c>
      <c r="AC1830" t="s">
        <v>143</v>
      </c>
      <c r="AD1830" t="s">
        <v>40</v>
      </c>
      <c r="AE1830" t="str">
        <f t="shared" si="560"/>
        <v>07</v>
      </c>
      <c r="AF1830" t="s">
        <v>40</v>
      </c>
    </row>
    <row r="1831" spans="1:32" x14ac:dyDescent="0.25">
      <c r="A1831">
        <v>5</v>
      </c>
      <c r="B1831">
        <v>420</v>
      </c>
      <c r="C1831" t="str">
        <f>"51"</f>
        <v>51</v>
      </c>
      <c r="D1831">
        <v>6269</v>
      </c>
      <c r="E1831" t="str">
        <f t="shared" si="562"/>
        <v>00</v>
      </c>
      <c r="F1831" t="str">
        <f t="shared" si="567"/>
        <v>999</v>
      </c>
      <c r="G1831">
        <v>5</v>
      </c>
      <c r="H1831" t="str">
        <f>"99"</f>
        <v>99</v>
      </c>
      <c r="I1831" t="str">
        <f t="shared" si="554"/>
        <v>0</v>
      </c>
      <c r="J1831" t="str">
        <f t="shared" si="552"/>
        <v>00</v>
      </c>
      <c r="K1831">
        <v>20150723</v>
      </c>
      <c r="L1831" t="str">
        <f t="shared" si="565"/>
        <v>015104</v>
      </c>
      <c r="M1831" t="str">
        <f t="shared" si="566"/>
        <v>00015</v>
      </c>
      <c r="N1831" t="s">
        <v>44</v>
      </c>
      <c r="O1831">
        <v>139</v>
      </c>
      <c r="Q1831" t="s">
        <v>33</v>
      </c>
      <c r="R1831" t="s">
        <v>34</v>
      </c>
      <c r="S1831" t="s">
        <v>35</v>
      </c>
      <c r="T1831" t="s">
        <v>35</v>
      </c>
      <c r="U1831" t="s">
        <v>34</v>
      </c>
      <c r="V1831" t="str">
        <f>""</f>
        <v/>
      </c>
      <c r="W1831">
        <v>20150716</v>
      </c>
      <c r="X1831" t="s">
        <v>225</v>
      </c>
      <c r="Y1831" t="s">
        <v>525</v>
      </c>
      <c r="Z1831" t="s">
        <v>525</v>
      </c>
      <c r="AA1831">
        <v>0</v>
      </c>
      <c r="AB1831" t="s">
        <v>142</v>
      </c>
      <c r="AC1831" t="s">
        <v>143</v>
      </c>
      <c r="AD1831" t="s">
        <v>40</v>
      </c>
      <c r="AE1831" t="str">
        <f t="shared" si="560"/>
        <v>07</v>
      </c>
      <c r="AF1831" t="s">
        <v>40</v>
      </c>
    </row>
    <row r="1832" spans="1:32" x14ac:dyDescent="0.25">
      <c r="A1832">
        <v>5</v>
      </c>
      <c r="B1832">
        <v>420</v>
      </c>
      <c r="C1832" t="str">
        <f>"51"</f>
        <v>51</v>
      </c>
      <c r="D1832">
        <v>6319</v>
      </c>
      <c r="E1832" t="str">
        <f t="shared" si="562"/>
        <v>00</v>
      </c>
      <c r="F1832" t="str">
        <f t="shared" si="567"/>
        <v>999</v>
      </c>
      <c r="G1832">
        <v>5</v>
      </c>
      <c r="H1832" t="str">
        <f>"99"</f>
        <v>99</v>
      </c>
      <c r="I1832" t="str">
        <f t="shared" si="554"/>
        <v>0</v>
      </c>
      <c r="J1832" t="str">
        <f t="shared" si="552"/>
        <v>00</v>
      </c>
      <c r="K1832">
        <v>20150723</v>
      </c>
      <c r="L1832" t="str">
        <f t="shared" si="565"/>
        <v>015104</v>
      </c>
      <c r="M1832" t="str">
        <f t="shared" si="566"/>
        <v>00015</v>
      </c>
      <c r="N1832" t="s">
        <v>44</v>
      </c>
      <c r="O1832">
        <v>229.42</v>
      </c>
      <c r="Q1832" t="s">
        <v>33</v>
      </c>
      <c r="R1832" t="s">
        <v>34</v>
      </c>
      <c r="S1832" t="s">
        <v>35</v>
      </c>
      <c r="T1832" t="s">
        <v>35</v>
      </c>
      <c r="U1832" t="s">
        <v>34</v>
      </c>
      <c r="V1832" t="str">
        <f>""</f>
        <v/>
      </c>
      <c r="W1832">
        <v>20150716</v>
      </c>
      <c r="X1832" t="s">
        <v>185</v>
      </c>
      <c r="Y1832" t="s">
        <v>530</v>
      </c>
      <c r="Z1832" t="s">
        <v>530</v>
      </c>
      <c r="AA1832">
        <v>0</v>
      </c>
      <c r="AB1832" t="s">
        <v>142</v>
      </c>
      <c r="AC1832" t="s">
        <v>143</v>
      </c>
      <c r="AD1832" t="s">
        <v>40</v>
      </c>
      <c r="AE1832" t="str">
        <f t="shared" si="560"/>
        <v>07</v>
      </c>
      <c r="AF1832" t="s">
        <v>40</v>
      </c>
    </row>
    <row r="1833" spans="1:32" x14ac:dyDescent="0.25">
      <c r="A1833">
        <v>5</v>
      </c>
      <c r="B1833">
        <v>420</v>
      </c>
      <c r="C1833" t="str">
        <f>"52"</f>
        <v>52</v>
      </c>
      <c r="D1833">
        <v>6399</v>
      </c>
      <c r="E1833" t="str">
        <f t="shared" si="562"/>
        <v>00</v>
      </c>
      <c r="F1833" t="str">
        <f t="shared" si="567"/>
        <v>999</v>
      </c>
      <c r="G1833">
        <v>5</v>
      </c>
      <c r="H1833" t="str">
        <f>"99"</f>
        <v>99</v>
      </c>
      <c r="I1833" t="str">
        <f t="shared" si="554"/>
        <v>0</v>
      </c>
      <c r="J1833" t="str">
        <f t="shared" si="552"/>
        <v>00</v>
      </c>
      <c r="K1833">
        <v>20150723</v>
      </c>
      <c r="L1833" t="str">
        <f t="shared" si="565"/>
        <v>015104</v>
      </c>
      <c r="M1833" t="str">
        <f t="shared" si="566"/>
        <v>00015</v>
      </c>
      <c r="N1833" t="s">
        <v>44</v>
      </c>
      <c r="O1833">
        <v>359.09</v>
      </c>
      <c r="Q1833" t="s">
        <v>33</v>
      </c>
      <c r="R1833" t="s">
        <v>34</v>
      </c>
      <c r="S1833" t="s">
        <v>35</v>
      </c>
      <c r="T1833" t="s">
        <v>35</v>
      </c>
      <c r="U1833" t="s">
        <v>34</v>
      </c>
      <c r="V1833" t="str">
        <f>""</f>
        <v/>
      </c>
      <c r="W1833">
        <v>20150716</v>
      </c>
      <c r="X1833" t="s">
        <v>436</v>
      </c>
      <c r="Y1833" t="s">
        <v>950</v>
      </c>
      <c r="Z1833" t="s">
        <v>950</v>
      </c>
      <c r="AA1833">
        <v>0</v>
      </c>
      <c r="AB1833" t="s">
        <v>142</v>
      </c>
      <c r="AC1833" t="s">
        <v>143</v>
      </c>
      <c r="AD1833" t="s">
        <v>40</v>
      </c>
      <c r="AE1833" t="str">
        <f t="shared" si="560"/>
        <v>07</v>
      </c>
      <c r="AF1833" t="s">
        <v>40</v>
      </c>
    </row>
    <row r="1834" spans="1:32" x14ac:dyDescent="0.25">
      <c r="A1834">
        <v>5</v>
      </c>
      <c r="B1834">
        <v>420</v>
      </c>
      <c r="C1834" t="str">
        <f>"11"</f>
        <v>11</v>
      </c>
      <c r="D1834">
        <v>6269</v>
      </c>
      <c r="E1834" t="str">
        <f t="shared" si="562"/>
        <v>00</v>
      </c>
      <c r="F1834" t="str">
        <f t="shared" si="567"/>
        <v>999</v>
      </c>
      <c r="G1834">
        <v>5</v>
      </c>
      <c r="H1834" t="str">
        <f>"11"</f>
        <v>11</v>
      </c>
      <c r="I1834" t="str">
        <f t="shared" si="554"/>
        <v>0</v>
      </c>
      <c r="J1834" t="str">
        <f t="shared" si="552"/>
        <v>00</v>
      </c>
      <c r="K1834">
        <v>20150723</v>
      </c>
      <c r="L1834" t="str">
        <f>"015105"</f>
        <v>015105</v>
      </c>
      <c r="M1834" t="str">
        <f>"00622"</f>
        <v>00622</v>
      </c>
      <c r="N1834" t="s">
        <v>318</v>
      </c>
      <c r="O1834">
        <v>408.8</v>
      </c>
      <c r="Q1834" t="s">
        <v>33</v>
      </c>
      <c r="R1834" t="s">
        <v>34</v>
      </c>
      <c r="S1834" t="s">
        <v>35</v>
      </c>
      <c r="T1834" t="s">
        <v>35</v>
      </c>
      <c r="U1834" t="s">
        <v>34</v>
      </c>
      <c r="V1834" t="str">
        <f>""</f>
        <v/>
      </c>
      <c r="W1834">
        <v>20150723</v>
      </c>
      <c r="X1834" t="s">
        <v>213</v>
      </c>
      <c r="Y1834" t="s">
        <v>231</v>
      </c>
      <c r="Z1834" t="s">
        <v>231</v>
      </c>
      <c r="AA1834">
        <v>0</v>
      </c>
      <c r="AB1834" t="s">
        <v>142</v>
      </c>
      <c r="AC1834" t="s">
        <v>143</v>
      </c>
      <c r="AD1834" t="s">
        <v>40</v>
      </c>
      <c r="AE1834" t="str">
        <f t="shared" si="560"/>
        <v>07</v>
      </c>
      <c r="AF1834" t="s">
        <v>40</v>
      </c>
    </row>
    <row r="1835" spans="1:32" x14ac:dyDescent="0.25">
      <c r="A1835">
        <v>5</v>
      </c>
      <c r="B1835">
        <v>263</v>
      </c>
      <c r="C1835" t="str">
        <f>"11"</f>
        <v>11</v>
      </c>
      <c r="D1835">
        <v>6399</v>
      </c>
      <c r="E1835" t="str">
        <f t="shared" si="562"/>
        <v>00</v>
      </c>
      <c r="F1835" t="str">
        <f t="shared" si="567"/>
        <v>999</v>
      </c>
      <c r="G1835">
        <v>5</v>
      </c>
      <c r="H1835" t="str">
        <f>"25"</f>
        <v>25</v>
      </c>
      <c r="I1835" t="str">
        <f t="shared" si="554"/>
        <v>0</v>
      </c>
      <c r="J1835" t="str">
        <f t="shared" si="552"/>
        <v>00</v>
      </c>
      <c r="K1835">
        <v>20150723</v>
      </c>
      <c r="L1835" t="str">
        <f>"015106"</f>
        <v>015106</v>
      </c>
      <c r="M1835" t="str">
        <f>"00831"</f>
        <v>00831</v>
      </c>
      <c r="N1835" t="s">
        <v>951</v>
      </c>
      <c r="O1835">
        <v>307.89</v>
      </c>
      <c r="Q1835" t="s">
        <v>33</v>
      </c>
      <c r="R1835" t="s">
        <v>34</v>
      </c>
      <c r="S1835" t="s">
        <v>35</v>
      </c>
      <c r="T1835" t="s">
        <v>35</v>
      </c>
      <c r="U1835" t="s">
        <v>34</v>
      </c>
      <c r="V1835" t="str">
        <f>""</f>
        <v/>
      </c>
      <c r="W1835">
        <v>20150720</v>
      </c>
      <c r="X1835" t="s">
        <v>722</v>
      </c>
      <c r="Y1835" t="s">
        <v>723</v>
      </c>
      <c r="Z1835" t="s">
        <v>723</v>
      </c>
      <c r="AA1835">
        <v>0</v>
      </c>
      <c r="AB1835" t="s">
        <v>197</v>
      </c>
      <c r="AC1835" t="s">
        <v>143</v>
      </c>
      <c r="AD1835" t="s">
        <v>40</v>
      </c>
      <c r="AE1835" t="str">
        <f t="shared" si="560"/>
        <v>07</v>
      </c>
      <c r="AF1835" t="s">
        <v>40</v>
      </c>
    </row>
    <row r="1836" spans="1:32" x14ac:dyDescent="0.25">
      <c r="A1836">
        <v>5</v>
      </c>
      <c r="B1836">
        <v>240</v>
      </c>
      <c r="C1836" t="str">
        <f t="shared" ref="C1836:C1841" si="568">"35"</f>
        <v>35</v>
      </c>
      <c r="D1836">
        <v>6341</v>
      </c>
      <c r="E1836" t="str">
        <f t="shared" si="562"/>
        <v>00</v>
      </c>
      <c r="F1836" t="str">
        <f t="shared" si="567"/>
        <v>999</v>
      </c>
      <c r="G1836">
        <v>5</v>
      </c>
      <c r="H1836" t="str">
        <f t="shared" ref="H1836:H1841" si="569">"99"</f>
        <v>99</v>
      </c>
      <c r="I1836" t="str">
        <f t="shared" si="554"/>
        <v>0</v>
      </c>
      <c r="J1836" t="str">
        <f t="shared" si="552"/>
        <v>00</v>
      </c>
      <c r="K1836">
        <v>20150723</v>
      </c>
      <c r="L1836" t="str">
        <f>"015107"</f>
        <v>015107</v>
      </c>
      <c r="M1836" t="str">
        <f>"00410"</f>
        <v>00410</v>
      </c>
      <c r="N1836" t="s">
        <v>324</v>
      </c>
      <c r="O1836">
        <v>234.65</v>
      </c>
      <c r="Q1836" t="s">
        <v>33</v>
      </c>
      <c r="R1836" t="s">
        <v>34</v>
      </c>
      <c r="S1836" t="s">
        <v>35</v>
      </c>
      <c r="T1836" t="s">
        <v>35</v>
      </c>
      <c r="U1836" t="s">
        <v>34</v>
      </c>
      <c r="V1836" t="str">
        <f>""</f>
        <v/>
      </c>
      <c r="W1836">
        <v>20150723</v>
      </c>
      <c r="X1836" t="s">
        <v>268</v>
      </c>
      <c r="Y1836" t="s">
        <v>573</v>
      </c>
      <c r="Z1836" t="s">
        <v>573</v>
      </c>
      <c r="AA1836">
        <v>0</v>
      </c>
      <c r="AB1836" t="s">
        <v>238</v>
      </c>
      <c r="AC1836" t="s">
        <v>143</v>
      </c>
      <c r="AD1836" t="s">
        <v>40</v>
      </c>
      <c r="AE1836" t="str">
        <f t="shared" si="560"/>
        <v>07</v>
      </c>
      <c r="AF1836" t="s">
        <v>40</v>
      </c>
    </row>
    <row r="1837" spans="1:32" x14ac:dyDescent="0.25">
      <c r="A1837">
        <v>5</v>
      </c>
      <c r="B1837">
        <v>240</v>
      </c>
      <c r="C1837" t="str">
        <f t="shared" si="568"/>
        <v>35</v>
      </c>
      <c r="D1837">
        <v>6341</v>
      </c>
      <c r="E1837" t="str">
        <f t="shared" si="562"/>
        <v>00</v>
      </c>
      <c r="F1837" t="str">
        <f t="shared" si="567"/>
        <v>999</v>
      </c>
      <c r="G1837">
        <v>5</v>
      </c>
      <c r="H1837" t="str">
        <f t="shared" si="569"/>
        <v>99</v>
      </c>
      <c r="I1837" t="str">
        <f t="shared" si="554"/>
        <v>0</v>
      </c>
      <c r="J1837" t="str">
        <f t="shared" si="552"/>
        <v>00</v>
      </c>
      <c r="K1837">
        <v>20150723</v>
      </c>
      <c r="L1837" t="str">
        <f>"015107"</f>
        <v>015107</v>
      </c>
      <c r="M1837" t="str">
        <f>"00410"</f>
        <v>00410</v>
      </c>
      <c r="N1837" t="s">
        <v>324</v>
      </c>
      <c r="O1837">
        <v>98.8</v>
      </c>
      <c r="Q1837" t="s">
        <v>33</v>
      </c>
      <c r="R1837" t="s">
        <v>34</v>
      </c>
      <c r="S1837" t="s">
        <v>35</v>
      </c>
      <c r="T1837" t="s">
        <v>35</v>
      </c>
      <c r="U1837" t="s">
        <v>34</v>
      </c>
      <c r="V1837" t="str">
        <f>""</f>
        <v/>
      </c>
      <c r="W1837">
        <v>20150723</v>
      </c>
      <c r="X1837" t="s">
        <v>268</v>
      </c>
      <c r="Y1837" t="s">
        <v>573</v>
      </c>
      <c r="Z1837" t="s">
        <v>573</v>
      </c>
      <c r="AA1837">
        <v>0</v>
      </c>
      <c r="AB1837" t="s">
        <v>238</v>
      </c>
      <c r="AC1837" t="s">
        <v>143</v>
      </c>
      <c r="AD1837" t="s">
        <v>40</v>
      </c>
      <c r="AE1837" t="str">
        <f t="shared" si="560"/>
        <v>07</v>
      </c>
      <c r="AF1837" t="s">
        <v>40</v>
      </c>
    </row>
    <row r="1838" spans="1:32" x14ac:dyDescent="0.25">
      <c r="A1838">
        <v>5</v>
      </c>
      <c r="B1838">
        <v>240</v>
      </c>
      <c r="C1838" t="str">
        <f t="shared" si="568"/>
        <v>35</v>
      </c>
      <c r="D1838">
        <v>6341</v>
      </c>
      <c r="E1838" t="str">
        <f t="shared" si="562"/>
        <v>00</v>
      </c>
      <c r="F1838" t="str">
        <f t="shared" si="567"/>
        <v>999</v>
      </c>
      <c r="G1838">
        <v>5</v>
      </c>
      <c r="H1838" t="str">
        <f t="shared" si="569"/>
        <v>99</v>
      </c>
      <c r="I1838" t="str">
        <f t="shared" si="554"/>
        <v>0</v>
      </c>
      <c r="J1838" t="str">
        <f t="shared" si="552"/>
        <v>00</v>
      </c>
      <c r="K1838">
        <v>20150723</v>
      </c>
      <c r="L1838" t="str">
        <f>"015107"</f>
        <v>015107</v>
      </c>
      <c r="M1838" t="str">
        <f>"00410"</f>
        <v>00410</v>
      </c>
      <c r="N1838" t="s">
        <v>324</v>
      </c>
      <c r="O1838">
        <v>111.15</v>
      </c>
      <c r="Q1838" t="s">
        <v>33</v>
      </c>
      <c r="R1838" t="s">
        <v>34</v>
      </c>
      <c r="S1838" t="s">
        <v>35</v>
      </c>
      <c r="T1838" t="s">
        <v>35</v>
      </c>
      <c r="U1838" t="s">
        <v>34</v>
      </c>
      <c r="V1838" t="str">
        <f>""</f>
        <v/>
      </c>
      <c r="W1838">
        <v>20150723</v>
      </c>
      <c r="X1838" t="s">
        <v>268</v>
      </c>
      <c r="Y1838" t="s">
        <v>573</v>
      </c>
      <c r="Z1838" t="s">
        <v>573</v>
      </c>
      <c r="AA1838">
        <v>0</v>
      </c>
      <c r="AB1838" t="s">
        <v>238</v>
      </c>
      <c r="AC1838" t="s">
        <v>143</v>
      </c>
      <c r="AD1838" t="s">
        <v>40</v>
      </c>
      <c r="AE1838" t="str">
        <f t="shared" ref="AE1838:AE1869" si="570">"07"</f>
        <v>07</v>
      </c>
      <c r="AF1838" t="s">
        <v>40</v>
      </c>
    </row>
    <row r="1839" spans="1:32" x14ac:dyDescent="0.25">
      <c r="A1839">
        <v>5</v>
      </c>
      <c r="B1839">
        <v>240</v>
      </c>
      <c r="C1839" t="str">
        <f t="shared" si="568"/>
        <v>35</v>
      </c>
      <c r="D1839">
        <v>6341</v>
      </c>
      <c r="E1839" t="str">
        <f t="shared" si="562"/>
        <v>00</v>
      </c>
      <c r="F1839" t="str">
        <f t="shared" si="567"/>
        <v>999</v>
      </c>
      <c r="G1839">
        <v>5</v>
      </c>
      <c r="H1839" t="str">
        <f t="shared" si="569"/>
        <v>99</v>
      </c>
      <c r="I1839" t="str">
        <f t="shared" si="554"/>
        <v>0</v>
      </c>
      <c r="J1839" t="str">
        <f t="shared" si="552"/>
        <v>00</v>
      </c>
      <c r="K1839">
        <v>20150723</v>
      </c>
      <c r="L1839" t="str">
        <f>"015107"</f>
        <v>015107</v>
      </c>
      <c r="M1839" t="str">
        <f>"00410"</f>
        <v>00410</v>
      </c>
      <c r="N1839" t="s">
        <v>324</v>
      </c>
      <c r="O1839">
        <v>49.4</v>
      </c>
      <c r="Q1839" t="s">
        <v>33</v>
      </c>
      <c r="R1839" t="s">
        <v>34</v>
      </c>
      <c r="S1839" t="s">
        <v>35</v>
      </c>
      <c r="T1839" t="s">
        <v>35</v>
      </c>
      <c r="U1839" t="s">
        <v>34</v>
      </c>
      <c r="V1839" t="str">
        <f>""</f>
        <v/>
      </c>
      <c r="W1839">
        <v>20150723</v>
      </c>
      <c r="X1839" t="s">
        <v>268</v>
      </c>
      <c r="Y1839" t="s">
        <v>573</v>
      </c>
      <c r="Z1839" t="s">
        <v>573</v>
      </c>
      <c r="AA1839">
        <v>0</v>
      </c>
      <c r="AB1839" t="s">
        <v>238</v>
      </c>
      <c r="AC1839" t="s">
        <v>143</v>
      </c>
      <c r="AD1839" t="s">
        <v>40</v>
      </c>
      <c r="AE1839" t="str">
        <f t="shared" si="570"/>
        <v>07</v>
      </c>
      <c r="AF1839" t="s">
        <v>40</v>
      </c>
    </row>
    <row r="1840" spans="1:32" x14ac:dyDescent="0.25">
      <c r="A1840">
        <v>5</v>
      </c>
      <c r="B1840">
        <v>240</v>
      </c>
      <c r="C1840" t="str">
        <f t="shared" si="568"/>
        <v>35</v>
      </c>
      <c r="D1840">
        <v>6341</v>
      </c>
      <c r="E1840" t="str">
        <f t="shared" si="562"/>
        <v>00</v>
      </c>
      <c r="F1840" t="str">
        <f t="shared" si="567"/>
        <v>999</v>
      </c>
      <c r="G1840">
        <v>5</v>
      </c>
      <c r="H1840" t="str">
        <f t="shared" si="569"/>
        <v>99</v>
      </c>
      <c r="I1840" t="str">
        <f t="shared" si="554"/>
        <v>0</v>
      </c>
      <c r="J1840" t="str">
        <f t="shared" si="552"/>
        <v>00</v>
      </c>
      <c r="K1840">
        <v>20150723</v>
      </c>
      <c r="L1840" t="str">
        <f>"015107"</f>
        <v>015107</v>
      </c>
      <c r="M1840" t="str">
        <f>"00410"</f>
        <v>00410</v>
      </c>
      <c r="N1840" t="s">
        <v>324</v>
      </c>
      <c r="O1840">
        <v>-12.35</v>
      </c>
      <c r="Q1840" t="s">
        <v>33</v>
      </c>
      <c r="R1840" t="s">
        <v>34</v>
      </c>
      <c r="S1840" t="s">
        <v>35</v>
      </c>
      <c r="T1840" t="s">
        <v>35</v>
      </c>
      <c r="U1840" t="s">
        <v>34</v>
      </c>
      <c r="V1840" t="s">
        <v>110</v>
      </c>
      <c r="W1840">
        <v>20150723</v>
      </c>
      <c r="X1840" t="s">
        <v>268</v>
      </c>
      <c r="Y1840" t="s">
        <v>952</v>
      </c>
      <c r="Z1840" t="s">
        <v>952</v>
      </c>
      <c r="AA1840">
        <v>0</v>
      </c>
      <c r="AB1840" t="s">
        <v>238</v>
      </c>
      <c r="AC1840" t="s">
        <v>143</v>
      </c>
      <c r="AD1840" t="s">
        <v>112</v>
      </c>
      <c r="AE1840" t="str">
        <f t="shared" si="570"/>
        <v>07</v>
      </c>
      <c r="AF1840" t="s">
        <v>40</v>
      </c>
    </row>
    <row r="1841" spans="1:32" x14ac:dyDescent="0.25">
      <c r="A1841">
        <v>5</v>
      </c>
      <c r="B1841">
        <v>240</v>
      </c>
      <c r="C1841" t="str">
        <f t="shared" si="568"/>
        <v>35</v>
      </c>
      <c r="D1841">
        <v>6399</v>
      </c>
      <c r="E1841" t="str">
        <f t="shared" si="562"/>
        <v>00</v>
      </c>
      <c r="F1841" t="str">
        <f t="shared" si="567"/>
        <v>999</v>
      </c>
      <c r="G1841">
        <v>5</v>
      </c>
      <c r="H1841" t="str">
        <f t="shared" si="569"/>
        <v>99</v>
      </c>
      <c r="I1841" t="str">
        <f t="shared" si="554"/>
        <v>0</v>
      </c>
      <c r="J1841" t="str">
        <f t="shared" si="552"/>
        <v>00</v>
      </c>
      <c r="K1841">
        <v>20150723</v>
      </c>
      <c r="L1841" t="str">
        <f t="shared" ref="L1841:L1860" si="571">"015108"</f>
        <v>015108</v>
      </c>
      <c r="M1841" t="str">
        <f t="shared" ref="M1841:M1860" si="572">"00701"</f>
        <v>00701</v>
      </c>
      <c r="N1841" t="s">
        <v>120</v>
      </c>
      <c r="O1841">
        <v>-137.15</v>
      </c>
      <c r="Q1841" t="s">
        <v>33</v>
      </c>
      <c r="R1841" t="s">
        <v>34</v>
      </c>
      <c r="S1841" t="s">
        <v>35</v>
      </c>
      <c r="T1841" t="s">
        <v>35</v>
      </c>
      <c r="U1841" t="s">
        <v>34</v>
      </c>
      <c r="V1841" t="s">
        <v>110</v>
      </c>
      <c r="W1841">
        <v>20150723</v>
      </c>
      <c r="X1841" t="s">
        <v>473</v>
      </c>
      <c r="Y1841" t="s">
        <v>953</v>
      </c>
      <c r="Z1841" t="s">
        <v>953</v>
      </c>
      <c r="AA1841">
        <v>0</v>
      </c>
      <c r="AB1841" t="s">
        <v>238</v>
      </c>
      <c r="AC1841" t="s">
        <v>143</v>
      </c>
      <c r="AD1841" t="s">
        <v>112</v>
      </c>
      <c r="AE1841" t="str">
        <f t="shared" si="570"/>
        <v>07</v>
      </c>
      <c r="AF1841" t="s">
        <v>40</v>
      </c>
    </row>
    <row r="1842" spans="1:32" x14ac:dyDescent="0.25">
      <c r="A1842">
        <v>5</v>
      </c>
      <c r="B1842">
        <v>420</v>
      </c>
      <c r="C1842" t="str">
        <f t="shared" ref="C1842:C1860" si="573">"11"</f>
        <v>11</v>
      </c>
      <c r="D1842">
        <v>6399</v>
      </c>
      <c r="E1842" t="str">
        <f t="shared" si="562"/>
        <v>00</v>
      </c>
      <c r="F1842" t="str">
        <f t="shared" ref="F1842:F1847" si="574">"001"</f>
        <v>001</v>
      </c>
      <c r="G1842">
        <v>5</v>
      </c>
      <c r="H1842" t="str">
        <f t="shared" ref="H1842:H1860" si="575">"11"</f>
        <v>11</v>
      </c>
      <c r="I1842" t="str">
        <f t="shared" si="554"/>
        <v>0</v>
      </c>
      <c r="J1842" t="str">
        <f t="shared" si="552"/>
        <v>00</v>
      </c>
      <c r="K1842">
        <v>20150723</v>
      </c>
      <c r="L1842" t="str">
        <f t="shared" si="571"/>
        <v>015108</v>
      </c>
      <c r="M1842" t="str">
        <f t="shared" si="572"/>
        <v>00701</v>
      </c>
      <c r="N1842" t="s">
        <v>120</v>
      </c>
      <c r="O1842">
        <v>6.07</v>
      </c>
      <c r="Q1842" t="s">
        <v>33</v>
      </c>
      <c r="R1842" t="s">
        <v>34</v>
      </c>
      <c r="S1842" t="s">
        <v>35</v>
      </c>
      <c r="T1842" t="s">
        <v>35</v>
      </c>
      <c r="U1842" t="s">
        <v>34</v>
      </c>
      <c r="V1842" t="str">
        <f>""</f>
        <v/>
      </c>
      <c r="W1842">
        <v>20150723</v>
      </c>
      <c r="X1842" t="s">
        <v>239</v>
      </c>
      <c r="Y1842" t="s">
        <v>399</v>
      </c>
      <c r="Z1842" t="s">
        <v>399</v>
      </c>
      <c r="AA1842">
        <v>0</v>
      </c>
      <c r="AB1842" t="s">
        <v>142</v>
      </c>
      <c r="AC1842" t="s">
        <v>41</v>
      </c>
      <c r="AD1842" t="s">
        <v>40</v>
      </c>
      <c r="AE1842" t="str">
        <f t="shared" si="570"/>
        <v>07</v>
      </c>
      <c r="AF1842" t="s">
        <v>40</v>
      </c>
    </row>
    <row r="1843" spans="1:32" x14ac:dyDescent="0.25">
      <c r="A1843">
        <v>5</v>
      </c>
      <c r="B1843">
        <v>420</v>
      </c>
      <c r="C1843" t="str">
        <f t="shared" si="573"/>
        <v>11</v>
      </c>
      <c r="D1843">
        <v>6399</v>
      </c>
      <c r="E1843" t="str">
        <f t="shared" si="562"/>
        <v>00</v>
      </c>
      <c r="F1843" t="str">
        <f t="shared" si="574"/>
        <v>001</v>
      </c>
      <c r="G1843">
        <v>5</v>
      </c>
      <c r="H1843" t="str">
        <f t="shared" si="575"/>
        <v>11</v>
      </c>
      <c r="I1843" t="str">
        <f t="shared" si="554"/>
        <v>0</v>
      </c>
      <c r="J1843" t="str">
        <f t="shared" ref="J1843:J1906" si="576">"00"</f>
        <v>00</v>
      </c>
      <c r="K1843">
        <v>20150723</v>
      </c>
      <c r="L1843" t="str">
        <f t="shared" si="571"/>
        <v>015108</v>
      </c>
      <c r="M1843" t="str">
        <f t="shared" si="572"/>
        <v>00701</v>
      </c>
      <c r="N1843" t="s">
        <v>120</v>
      </c>
      <c r="O1843">
        <v>2.88</v>
      </c>
      <c r="Q1843" t="s">
        <v>33</v>
      </c>
      <c r="R1843" t="s">
        <v>34</v>
      </c>
      <c r="S1843" t="s">
        <v>35</v>
      </c>
      <c r="T1843" t="s">
        <v>35</v>
      </c>
      <c r="U1843" t="s">
        <v>34</v>
      </c>
      <c r="V1843" t="str">
        <f>""</f>
        <v/>
      </c>
      <c r="W1843">
        <v>20150723</v>
      </c>
      <c r="X1843" t="s">
        <v>239</v>
      </c>
      <c r="Y1843" t="s">
        <v>399</v>
      </c>
      <c r="Z1843" t="s">
        <v>399</v>
      </c>
      <c r="AA1843">
        <v>0</v>
      </c>
      <c r="AB1843" t="s">
        <v>142</v>
      </c>
      <c r="AC1843" t="s">
        <v>41</v>
      </c>
      <c r="AD1843" t="s">
        <v>40</v>
      </c>
      <c r="AE1843" t="str">
        <f t="shared" si="570"/>
        <v>07</v>
      </c>
      <c r="AF1843" t="s">
        <v>40</v>
      </c>
    </row>
    <row r="1844" spans="1:32" x14ac:dyDescent="0.25">
      <c r="A1844">
        <v>5</v>
      </c>
      <c r="B1844">
        <v>420</v>
      </c>
      <c r="C1844" t="str">
        <f t="shared" si="573"/>
        <v>11</v>
      </c>
      <c r="D1844">
        <v>6399</v>
      </c>
      <c r="E1844" t="str">
        <f t="shared" si="562"/>
        <v>00</v>
      </c>
      <c r="F1844" t="str">
        <f t="shared" si="574"/>
        <v>001</v>
      </c>
      <c r="G1844">
        <v>5</v>
      </c>
      <c r="H1844" t="str">
        <f t="shared" si="575"/>
        <v>11</v>
      </c>
      <c r="I1844" t="str">
        <f t="shared" si="554"/>
        <v>0</v>
      </c>
      <c r="J1844" t="str">
        <f t="shared" si="576"/>
        <v>00</v>
      </c>
      <c r="K1844">
        <v>20150723</v>
      </c>
      <c r="L1844" t="str">
        <f t="shared" si="571"/>
        <v>015108</v>
      </c>
      <c r="M1844" t="str">
        <f t="shared" si="572"/>
        <v>00701</v>
      </c>
      <c r="N1844" t="s">
        <v>120</v>
      </c>
      <c r="O1844">
        <v>2.4</v>
      </c>
      <c r="Q1844" t="s">
        <v>33</v>
      </c>
      <c r="R1844" t="s">
        <v>34</v>
      </c>
      <c r="S1844" t="s">
        <v>35</v>
      </c>
      <c r="T1844" t="s">
        <v>35</v>
      </c>
      <c r="U1844" t="s">
        <v>34</v>
      </c>
      <c r="V1844" t="str">
        <f>""</f>
        <v/>
      </c>
      <c r="W1844">
        <v>20150723</v>
      </c>
      <c r="X1844" t="s">
        <v>239</v>
      </c>
      <c r="Y1844" t="s">
        <v>399</v>
      </c>
      <c r="Z1844" t="s">
        <v>399</v>
      </c>
      <c r="AA1844">
        <v>0</v>
      </c>
      <c r="AB1844" t="s">
        <v>142</v>
      </c>
      <c r="AC1844" t="s">
        <v>41</v>
      </c>
      <c r="AD1844" t="s">
        <v>40</v>
      </c>
      <c r="AE1844" t="str">
        <f t="shared" si="570"/>
        <v>07</v>
      </c>
      <c r="AF1844" t="s">
        <v>40</v>
      </c>
    </row>
    <row r="1845" spans="1:32" x14ac:dyDescent="0.25">
      <c r="A1845">
        <v>5</v>
      </c>
      <c r="B1845">
        <v>420</v>
      </c>
      <c r="C1845" t="str">
        <f t="shared" si="573"/>
        <v>11</v>
      </c>
      <c r="D1845">
        <v>6399</v>
      </c>
      <c r="E1845" t="str">
        <f t="shared" si="562"/>
        <v>00</v>
      </c>
      <c r="F1845" t="str">
        <f t="shared" si="574"/>
        <v>001</v>
      </c>
      <c r="G1845">
        <v>5</v>
      </c>
      <c r="H1845" t="str">
        <f t="shared" si="575"/>
        <v>11</v>
      </c>
      <c r="I1845" t="str">
        <f t="shared" si="554"/>
        <v>0</v>
      </c>
      <c r="J1845" t="str">
        <f t="shared" si="576"/>
        <v>00</v>
      </c>
      <c r="K1845">
        <v>20150723</v>
      </c>
      <c r="L1845" t="str">
        <f t="shared" si="571"/>
        <v>015108</v>
      </c>
      <c r="M1845" t="str">
        <f t="shared" si="572"/>
        <v>00701</v>
      </c>
      <c r="N1845" t="s">
        <v>120</v>
      </c>
      <c r="O1845">
        <v>1.85</v>
      </c>
      <c r="Q1845" t="s">
        <v>33</v>
      </c>
      <c r="R1845" t="s">
        <v>34</v>
      </c>
      <c r="S1845" t="s">
        <v>35</v>
      </c>
      <c r="T1845" t="s">
        <v>35</v>
      </c>
      <c r="U1845" t="s">
        <v>34</v>
      </c>
      <c r="V1845" t="str">
        <f>""</f>
        <v/>
      </c>
      <c r="W1845">
        <v>20150723</v>
      </c>
      <c r="X1845" t="s">
        <v>239</v>
      </c>
      <c r="Y1845" t="s">
        <v>399</v>
      </c>
      <c r="Z1845" t="s">
        <v>399</v>
      </c>
      <c r="AA1845">
        <v>0</v>
      </c>
      <c r="AB1845" t="s">
        <v>142</v>
      </c>
      <c r="AC1845" t="s">
        <v>41</v>
      </c>
      <c r="AD1845" t="s">
        <v>40</v>
      </c>
      <c r="AE1845" t="str">
        <f t="shared" si="570"/>
        <v>07</v>
      </c>
      <c r="AF1845" t="s">
        <v>40</v>
      </c>
    </row>
    <row r="1846" spans="1:32" x14ac:dyDescent="0.25">
      <c r="A1846">
        <v>5</v>
      </c>
      <c r="B1846">
        <v>420</v>
      </c>
      <c r="C1846" t="str">
        <f t="shared" si="573"/>
        <v>11</v>
      </c>
      <c r="D1846">
        <v>6399</v>
      </c>
      <c r="E1846" t="str">
        <f t="shared" si="562"/>
        <v>00</v>
      </c>
      <c r="F1846" t="str">
        <f t="shared" si="574"/>
        <v>001</v>
      </c>
      <c r="G1846">
        <v>5</v>
      </c>
      <c r="H1846" t="str">
        <f t="shared" si="575"/>
        <v>11</v>
      </c>
      <c r="I1846" t="str">
        <f t="shared" si="554"/>
        <v>0</v>
      </c>
      <c r="J1846" t="str">
        <f t="shared" si="576"/>
        <v>00</v>
      </c>
      <c r="K1846">
        <v>20150723</v>
      </c>
      <c r="L1846" t="str">
        <f t="shared" si="571"/>
        <v>015108</v>
      </c>
      <c r="M1846" t="str">
        <f t="shared" si="572"/>
        <v>00701</v>
      </c>
      <c r="N1846" t="s">
        <v>120</v>
      </c>
      <c r="O1846">
        <v>6.07</v>
      </c>
      <c r="Q1846" t="s">
        <v>33</v>
      </c>
      <c r="R1846" t="s">
        <v>34</v>
      </c>
      <c r="S1846" t="s">
        <v>35</v>
      </c>
      <c r="T1846" t="s">
        <v>35</v>
      </c>
      <c r="U1846" t="s">
        <v>34</v>
      </c>
      <c r="V1846" t="str">
        <f>""</f>
        <v/>
      </c>
      <c r="W1846">
        <v>20150723</v>
      </c>
      <c r="X1846" t="s">
        <v>239</v>
      </c>
      <c r="Y1846" t="s">
        <v>399</v>
      </c>
      <c r="Z1846" t="s">
        <v>399</v>
      </c>
      <c r="AA1846">
        <v>0</v>
      </c>
      <c r="AB1846" t="s">
        <v>142</v>
      </c>
      <c r="AC1846" t="s">
        <v>41</v>
      </c>
      <c r="AD1846" t="s">
        <v>40</v>
      </c>
      <c r="AE1846" t="str">
        <f t="shared" si="570"/>
        <v>07</v>
      </c>
      <c r="AF1846" t="s">
        <v>40</v>
      </c>
    </row>
    <row r="1847" spans="1:32" x14ac:dyDescent="0.25">
      <c r="A1847">
        <v>5</v>
      </c>
      <c r="B1847">
        <v>420</v>
      </c>
      <c r="C1847" t="str">
        <f t="shared" si="573"/>
        <v>11</v>
      </c>
      <c r="D1847">
        <v>6399</v>
      </c>
      <c r="E1847" t="str">
        <f t="shared" si="562"/>
        <v>00</v>
      </c>
      <c r="F1847" t="str">
        <f t="shared" si="574"/>
        <v>001</v>
      </c>
      <c r="G1847">
        <v>5</v>
      </c>
      <c r="H1847" t="str">
        <f t="shared" si="575"/>
        <v>11</v>
      </c>
      <c r="I1847" t="str">
        <f t="shared" si="554"/>
        <v>0</v>
      </c>
      <c r="J1847" t="str">
        <f t="shared" si="576"/>
        <v>00</v>
      </c>
      <c r="K1847">
        <v>20150723</v>
      </c>
      <c r="L1847" t="str">
        <f t="shared" si="571"/>
        <v>015108</v>
      </c>
      <c r="M1847" t="str">
        <f t="shared" si="572"/>
        <v>00701</v>
      </c>
      <c r="N1847" t="s">
        <v>120</v>
      </c>
      <c r="O1847">
        <v>160.4</v>
      </c>
      <c r="Q1847" t="s">
        <v>33</v>
      </c>
      <c r="R1847" t="s">
        <v>34</v>
      </c>
      <c r="S1847" t="s">
        <v>35</v>
      </c>
      <c r="T1847" t="s">
        <v>35</v>
      </c>
      <c r="U1847" t="s">
        <v>34</v>
      </c>
      <c r="V1847" t="str">
        <f>""</f>
        <v/>
      </c>
      <c r="W1847">
        <v>20150723</v>
      </c>
      <c r="X1847" t="s">
        <v>239</v>
      </c>
      <c r="Y1847" t="s">
        <v>399</v>
      </c>
      <c r="Z1847" t="s">
        <v>399</v>
      </c>
      <c r="AA1847">
        <v>0</v>
      </c>
      <c r="AB1847" t="s">
        <v>142</v>
      </c>
      <c r="AC1847" t="s">
        <v>41</v>
      </c>
      <c r="AD1847" t="s">
        <v>40</v>
      </c>
      <c r="AE1847" t="str">
        <f t="shared" si="570"/>
        <v>07</v>
      </c>
      <c r="AF1847" t="s">
        <v>40</v>
      </c>
    </row>
    <row r="1848" spans="1:32" x14ac:dyDescent="0.25">
      <c r="A1848">
        <v>5</v>
      </c>
      <c r="B1848">
        <v>420</v>
      </c>
      <c r="C1848" t="str">
        <f t="shared" si="573"/>
        <v>11</v>
      </c>
      <c r="D1848">
        <v>6399</v>
      </c>
      <c r="E1848" t="str">
        <f t="shared" si="562"/>
        <v>00</v>
      </c>
      <c r="F1848" t="str">
        <f t="shared" ref="F1848:F1854" si="577">"041"</f>
        <v>041</v>
      </c>
      <c r="G1848">
        <v>5</v>
      </c>
      <c r="H1848" t="str">
        <f t="shared" si="575"/>
        <v>11</v>
      </c>
      <c r="I1848" t="str">
        <f t="shared" si="554"/>
        <v>0</v>
      </c>
      <c r="J1848" t="str">
        <f t="shared" si="576"/>
        <v>00</v>
      </c>
      <c r="K1848">
        <v>20150723</v>
      </c>
      <c r="L1848" t="str">
        <f t="shared" si="571"/>
        <v>015108</v>
      </c>
      <c r="M1848" t="str">
        <f t="shared" si="572"/>
        <v>00701</v>
      </c>
      <c r="N1848" t="s">
        <v>120</v>
      </c>
      <c r="O1848">
        <v>6.07</v>
      </c>
      <c r="Q1848" t="s">
        <v>33</v>
      </c>
      <c r="R1848" t="s">
        <v>34</v>
      </c>
      <c r="S1848" t="s">
        <v>35</v>
      </c>
      <c r="T1848" t="s">
        <v>35</v>
      </c>
      <c r="U1848" t="s">
        <v>34</v>
      </c>
      <c r="V1848" t="str">
        <f>""</f>
        <v/>
      </c>
      <c r="W1848">
        <v>20150723</v>
      </c>
      <c r="X1848" t="s">
        <v>241</v>
      </c>
      <c r="Y1848" t="s">
        <v>399</v>
      </c>
      <c r="Z1848" t="s">
        <v>399</v>
      </c>
      <c r="AA1848">
        <v>0</v>
      </c>
      <c r="AB1848" t="s">
        <v>142</v>
      </c>
      <c r="AC1848" t="s">
        <v>41</v>
      </c>
      <c r="AD1848" t="s">
        <v>40</v>
      </c>
      <c r="AE1848" t="str">
        <f t="shared" si="570"/>
        <v>07</v>
      </c>
      <c r="AF1848" t="s">
        <v>40</v>
      </c>
    </row>
    <row r="1849" spans="1:32" x14ac:dyDescent="0.25">
      <c r="A1849">
        <v>5</v>
      </c>
      <c r="B1849">
        <v>420</v>
      </c>
      <c r="C1849" t="str">
        <f t="shared" si="573"/>
        <v>11</v>
      </c>
      <c r="D1849">
        <v>6399</v>
      </c>
      <c r="E1849" t="str">
        <f t="shared" ref="E1849:E1875" si="578">"00"</f>
        <v>00</v>
      </c>
      <c r="F1849" t="str">
        <f t="shared" si="577"/>
        <v>041</v>
      </c>
      <c r="G1849">
        <v>5</v>
      </c>
      <c r="H1849" t="str">
        <f t="shared" si="575"/>
        <v>11</v>
      </c>
      <c r="I1849" t="str">
        <f t="shared" si="554"/>
        <v>0</v>
      </c>
      <c r="J1849" t="str">
        <f t="shared" si="576"/>
        <v>00</v>
      </c>
      <c r="K1849">
        <v>20150723</v>
      </c>
      <c r="L1849" t="str">
        <f t="shared" si="571"/>
        <v>015108</v>
      </c>
      <c r="M1849" t="str">
        <f t="shared" si="572"/>
        <v>00701</v>
      </c>
      <c r="N1849" t="s">
        <v>120</v>
      </c>
      <c r="O1849">
        <v>2.88</v>
      </c>
      <c r="Q1849" t="s">
        <v>33</v>
      </c>
      <c r="R1849" t="s">
        <v>34</v>
      </c>
      <c r="S1849" t="s">
        <v>35</v>
      </c>
      <c r="T1849" t="s">
        <v>35</v>
      </c>
      <c r="U1849" t="s">
        <v>34</v>
      </c>
      <c r="V1849" t="str">
        <f>""</f>
        <v/>
      </c>
      <c r="W1849">
        <v>20150723</v>
      </c>
      <c r="X1849" t="s">
        <v>241</v>
      </c>
      <c r="Y1849" t="s">
        <v>399</v>
      </c>
      <c r="Z1849" t="s">
        <v>399</v>
      </c>
      <c r="AA1849">
        <v>0</v>
      </c>
      <c r="AB1849" t="s">
        <v>142</v>
      </c>
      <c r="AC1849" t="s">
        <v>41</v>
      </c>
      <c r="AD1849" t="s">
        <v>40</v>
      </c>
      <c r="AE1849" t="str">
        <f t="shared" si="570"/>
        <v>07</v>
      </c>
      <c r="AF1849" t="s">
        <v>40</v>
      </c>
    </row>
    <row r="1850" spans="1:32" x14ac:dyDescent="0.25">
      <c r="A1850">
        <v>5</v>
      </c>
      <c r="B1850">
        <v>420</v>
      </c>
      <c r="C1850" t="str">
        <f t="shared" si="573"/>
        <v>11</v>
      </c>
      <c r="D1850">
        <v>6399</v>
      </c>
      <c r="E1850" t="str">
        <f t="shared" si="578"/>
        <v>00</v>
      </c>
      <c r="F1850" t="str">
        <f t="shared" si="577"/>
        <v>041</v>
      </c>
      <c r="G1850">
        <v>5</v>
      </c>
      <c r="H1850" t="str">
        <f t="shared" si="575"/>
        <v>11</v>
      </c>
      <c r="I1850" t="str">
        <f t="shared" si="554"/>
        <v>0</v>
      </c>
      <c r="J1850" t="str">
        <f t="shared" si="576"/>
        <v>00</v>
      </c>
      <c r="K1850">
        <v>20150723</v>
      </c>
      <c r="L1850" t="str">
        <f t="shared" si="571"/>
        <v>015108</v>
      </c>
      <c r="M1850" t="str">
        <f t="shared" si="572"/>
        <v>00701</v>
      </c>
      <c r="N1850" t="s">
        <v>120</v>
      </c>
      <c r="O1850">
        <v>2.4</v>
      </c>
      <c r="Q1850" t="s">
        <v>33</v>
      </c>
      <c r="R1850" t="s">
        <v>34</v>
      </c>
      <c r="S1850" t="s">
        <v>35</v>
      </c>
      <c r="T1850" t="s">
        <v>35</v>
      </c>
      <c r="U1850" t="s">
        <v>34</v>
      </c>
      <c r="V1850" t="str">
        <f>""</f>
        <v/>
      </c>
      <c r="W1850">
        <v>20150723</v>
      </c>
      <c r="X1850" t="s">
        <v>241</v>
      </c>
      <c r="Y1850" t="s">
        <v>399</v>
      </c>
      <c r="Z1850" t="s">
        <v>399</v>
      </c>
      <c r="AA1850">
        <v>0</v>
      </c>
      <c r="AB1850" t="s">
        <v>142</v>
      </c>
      <c r="AC1850" t="s">
        <v>41</v>
      </c>
      <c r="AD1850" t="s">
        <v>40</v>
      </c>
      <c r="AE1850" t="str">
        <f t="shared" si="570"/>
        <v>07</v>
      </c>
      <c r="AF1850" t="s">
        <v>40</v>
      </c>
    </row>
    <row r="1851" spans="1:32" x14ac:dyDescent="0.25">
      <c r="A1851">
        <v>5</v>
      </c>
      <c r="B1851">
        <v>420</v>
      </c>
      <c r="C1851" t="str">
        <f t="shared" si="573"/>
        <v>11</v>
      </c>
      <c r="D1851">
        <v>6399</v>
      </c>
      <c r="E1851" t="str">
        <f t="shared" si="578"/>
        <v>00</v>
      </c>
      <c r="F1851" t="str">
        <f t="shared" si="577"/>
        <v>041</v>
      </c>
      <c r="G1851">
        <v>5</v>
      </c>
      <c r="H1851" t="str">
        <f t="shared" si="575"/>
        <v>11</v>
      </c>
      <c r="I1851" t="str">
        <f t="shared" si="554"/>
        <v>0</v>
      </c>
      <c r="J1851" t="str">
        <f t="shared" si="576"/>
        <v>00</v>
      </c>
      <c r="K1851">
        <v>20150723</v>
      </c>
      <c r="L1851" t="str">
        <f t="shared" si="571"/>
        <v>015108</v>
      </c>
      <c r="M1851" t="str">
        <f t="shared" si="572"/>
        <v>00701</v>
      </c>
      <c r="N1851" t="s">
        <v>120</v>
      </c>
      <c r="O1851">
        <v>6.04</v>
      </c>
      <c r="Q1851" t="s">
        <v>33</v>
      </c>
      <c r="R1851" t="s">
        <v>34</v>
      </c>
      <c r="S1851" t="s">
        <v>35</v>
      </c>
      <c r="T1851" t="s">
        <v>35</v>
      </c>
      <c r="U1851" t="s">
        <v>34</v>
      </c>
      <c r="V1851" t="str">
        <f>""</f>
        <v/>
      </c>
      <c r="W1851">
        <v>20150723</v>
      </c>
      <c r="X1851" t="s">
        <v>241</v>
      </c>
      <c r="Y1851" t="s">
        <v>399</v>
      </c>
      <c r="Z1851" t="s">
        <v>399</v>
      </c>
      <c r="AA1851">
        <v>0</v>
      </c>
      <c r="AB1851" t="s">
        <v>142</v>
      </c>
      <c r="AC1851" t="s">
        <v>41</v>
      </c>
      <c r="AD1851" t="s">
        <v>40</v>
      </c>
      <c r="AE1851" t="str">
        <f t="shared" si="570"/>
        <v>07</v>
      </c>
      <c r="AF1851" t="s">
        <v>40</v>
      </c>
    </row>
    <row r="1852" spans="1:32" x14ac:dyDescent="0.25">
      <c r="A1852">
        <v>5</v>
      </c>
      <c r="B1852">
        <v>420</v>
      </c>
      <c r="C1852" t="str">
        <f t="shared" si="573"/>
        <v>11</v>
      </c>
      <c r="D1852">
        <v>6399</v>
      </c>
      <c r="E1852" t="str">
        <f t="shared" si="578"/>
        <v>00</v>
      </c>
      <c r="F1852" t="str">
        <f t="shared" si="577"/>
        <v>041</v>
      </c>
      <c r="G1852">
        <v>5</v>
      </c>
      <c r="H1852" t="str">
        <f t="shared" si="575"/>
        <v>11</v>
      </c>
      <c r="I1852" t="str">
        <f t="shared" si="554"/>
        <v>0</v>
      </c>
      <c r="J1852" t="str">
        <f t="shared" si="576"/>
        <v>00</v>
      </c>
      <c r="K1852">
        <v>20150723</v>
      </c>
      <c r="L1852" t="str">
        <f t="shared" si="571"/>
        <v>015108</v>
      </c>
      <c r="M1852" t="str">
        <f t="shared" si="572"/>
        <v>00701</v>
      </c>
      <c r="N1852" t="s">
        <v>120</v>
      </c>
      <c r="O1852">
        <v>1.85</v>
      </c>
      <c r="Q1852" t="s">
        <v>33</v>
      </c>
      <c r="R1852" t="s">
        <v>34</v>
      </c>
      <c r="S1852" t="s">
        <v>35</v>
      </c>
      <c r="T1852" t="s">
        <v>35</v>
      </c>
      <c r="U1852" t="s">
        <v>34</v>
      </c>
      <c r="V1852" t="str">
        <f>""</f>
        <v/>
      </c>
      <c r="W1852">
        <v>20150723</v>
      </c>
      <c r="X1852" t="s">
        <v>241</v>
      </c>
      <c r="Y1852" t="s">
        <v>399</v>
      </c>
      <c r="Z1852" t="s">
        <v>399</v>
      </c>
      <c r="AA1852">
        <v>0</v>
      </c>
      <c r="AB1852" t="s">
        <v>142</v>
      </c>
      <c r="AC1852" t="s">
        <v>41</v>
      </c>
      <c r="AD1852" t="s">
        <v>40</v>
      </c>
      <c r="AE1852" t="str">
        <f t="shared" si="570"/>
        <v>07</v>
      </c>
      <c r="AF1852" t="s">
        <v>40</v>
      </c>
    </row>
    <row r="1853" spans="1:32" x14ac:dyDescent="0.25">
      <c r="A1853">
        <v>5</v>
      </c>
      <c r="B1853">
        <v>420</v>
      </c>
      <c r="C1853" t="str">
        <f t="shared" si="573"/>
        <v>11</v>
      </c>
      <c r="D1853">
        <v>6399</v>
      </c>
      <c r="E1853" t="str">
        <f t="shared" si="578"/>
        <v>00</v>
      </c>
      <c r="F1853" t="str">
        <f t="shared" si="577"/>
        <v>041</v>
      </c>
      <c r="G1853">
        <v>5</v>
      </c>
      <c r="H1853" t="str">
        <f t="shared" si="575"/>
        <v>11</v>
      </c>
      <c r="I1853" t="str">
        <f t="shared" si="554"/>
        <v>0</v>
      </c>
      <c r="J1853" t="str">
        <f t="shared" si="576"/>
        <v>00</v>
      </c>
      <c r="K1853">
        <v>20150723</v>
      </c>
      <c r="L1853" t="str">
        <f t="shared" si="571"/>
        <v>015108</v>
      </c>
      <c r="M1853" t="str">
        <f t="shared" si="572"/>
        <v>00701</v>
      </c>
      <c r="N1853" t="s">
        <v>120</v>
      </c>
      <c r="O1853">
        <v>0.01</v>
      </c>
      <c r="Q1853" t="s">
        <v>33</v>
      </c>
      <c r="R1853" t="s">
        <v>34</v>
      </c>
      <c r="S1853" t="s">
        <v>35</v>
      </c>
      <c r="T1853" t="s">
        <v>35</v>
      </c>
      <c r="U1853" t="s">
        <v>34</v>
      </c>
      <c r="V1853" t="str">
        <f>""</f>
        <v/>
      </c>
      <c r="W1853">
        <v>20150723</v>
      </c>
      <c r="X1853" t="s">
        <v>241</v>
      </c>
      <c r="Y1853" t="s">
        <v>399</v>
      </c>
      <c r="Z1853" t="s">
        <v>399</v>
      </c>
      <c r="AA1853">
        <v>0</v>
      </c>
      <c r="AB1853" t="s">
        <v>142</v>
      </c>
      <c r="AC1853" t="s">
        <v>41</v>
      </c>
      <c r="AD1853" t="s">
        <v>40</v>
      </c>
      <c r="AE1853" t="str">
        <f t="shared" si="570"/>
        <v>07</v>
      </c>
      <c r="AF1853" t="s">
        <v>40</v>
      </c>
    </row>
    <row r="1854" spans="1:32" x14ac:dyDescent="0.25">
      <c r="A1854">
        <v>5</v>
      </c>
      <c r="B1854">
        <v>420</v>
      </c>
      <c r="C1854" t="str">
        <f t="shared" si="573"/>
        <v>11</v>
      </c>
      <c r="D1854">
        <v>6399</v>
      </c>
      <c r="E1854" t="str">
        <f t="shared" si="578"/>
        <v>00</v>
      </c>
      <c r="F1854" t="str">
        <f t="shared" si="577"/>
        <v>041</v>
      </c>
      <c r="G1854">
        <v>5</v>
      </c>
      <c r="H1854" t="str">
        <f t="shared" si="575"/>
        <v>11</v>
      </c>
      <c r="I1854" t="str">
        <f t="shared" si="554"/>
        <v>0</v>
      </c>
      <c r="J1854" t="str">
        <f t="shared" si="576"/>
        <v>00</v>
      </c>
      <c r="K1854">
        <v>20150723</v>
      </c>
      <c r="L1854" t="str">
        <f t="shared" si="571"/>
        <v>015108</v>
      </c>
      <c r="M1854" t="str">
        <f t="shared" si="572"/>
        <v>00701</v>
      </c>
      <c r="N1854" t="s">
        <v>120</v>
      </c>
      <c r="O1854">
        <v>160.4</v>
      </c>
      <c r="Q1854" t="s">
        <v>33</v>
      </c>
      <c r="R1854" t="s">
        <v>34</v>
      </c>
      <c r="S1854" t="s">
        <v>35</v>
      </c>
      <c r="T1854" t="s">
        <v>35</v>
      </c>
      <c r="U1854" t="s">
        <v>34</v>
      </c>
      <c r="V1854" t="str">
        <f>""</f>
        <v/>
      </c>
      <c r="W1854">
        <v>20150723</v>
      </c>
      <c r="X1854" t="s">
        <v>241</v>
      </c>
      <c r="Y1854" t="s">
        <v>399</v>
      </c>
      <c r="Z1854" t="s">
        <v>399</v>
      </c>
      <c r="AA1854">
        <v>0</v>
      </c>
      <c r="AB1854" t="s">
        <v>142</v>
      </c>
      <c r="AC1854" t="s">
        <v>41</v>
      </c>
      <c r="AD1854" t="s">
        <v>40</v>
      </c>
      <c r="AE1854" t="str">
        <f t="shared" si="570"/>
        <v>07</v>
      </c>
      <c r="AF1854" t="s">
        <v>40</v>
      </c>
    </row>
    <row r="1855" spans="1:32" x14ac:dyDescent="0.25">
      <c r="A1855">
        <v>5</v>
      </c>
      <c r="B1855">
        <v>420</v>
      </c>
      <c r="C1855" t="str">
        <f t="shared" si="573"/>
        <v>11</v>
      </c>
      <c r="D1855">
        <v>6399</v>
      </c>
      <c r="E1855" t="str">
        <f t="shared" si="578"/>
        <v>00</v>
      </c>
      <c r="F1855" t="str">
        <f t="shared" ref="F1855:F1860" si="579">"101"</f>
        <v>101</v>
      </c>
      <c r="G1855">
        <v>5</v>
      </c>
      <c r="H1855" t="str">
        <f t="shared" si="575"/>
        <v>11</v>
      </c>
      <c r="I1855" t="str">
        <f t="shared" si="554"/>
        <v>0</v>
      </c>
      <c r="J1855" t="str">
        <f t="shared" si="576"/>
        <v>00</v>
      </c>
      <c r="K1855">
        <v>20150723</v>
      </c>
      <c r="L1855" t="str">
        <f t="shared" si="571"/>
        <v>015108</v>
      </c>
      <c r="M1855" t="str">
        <f t="shared" si="572"/>
        <v>00701</v>
      </c>
      <c r="N1855" t="s">
        <v>120</v>
      </c>
      <c r="O1855">
        <v>28.33</v>
      </c>
      <c r="Q1855" t="s">
        <v>33</v>
      </c>
      <c r="R1855" t="s">
        <v>34</v>
      </c>
      <c r="S1855" t="s">
        <v>35</v>
      </c>
      <c r="T1855" t="s">
        <v>35</v>
      </c>
      <c r="U1855" t="s">
        <v>34</v>
      </c>
      <c r="V1855" t="str">
        <f>""</f>
        <v/>
      </c>
      <c r="W1855">
        <v>20150723</v>
      </c>
      <c r="X1855" t="s">
        <v>246</v>
      </c>
      <c r="Y1855" t="s">
        <v>399</v>
      </c>
      <c r="Z1855" t="s">
        <v>399</v>
      </c>
      <c r="AA1855">
        <v>0</v>
      </c>
      <c r="AB1855" t="s">
        <v>142</v>
      </c>
      <c r="AC1855" t="s">
        <v>41</v>
      </c>
      <c r="AD1855" t="s">
        <v>40</v>
      </c>
      <c r="AE1855" t="str">
        <f t="shared" si="570"/>
        <v>07</v>
      </c>
      <c r="AF1855" t="s">
        <v>40</v>
      </c>
    </row>
    <row r="1856" spans="1:32" x14ac:dyDescent="0.25">
      <c r="A1856">
        <v>5</v>
      </c>
      <c r="B1856">
        <v>420</v>
      </c>
      <c r="C1856" t="str">
        <f t="shared" si="573"/>
        <v>11</v>
      </c>
      <c r="D1856">
        <v>6399</v>
      </c>
      <c r="E1856" t="str">
        <f t="shared" si="578"/>
        <v>00</v>
      </c>
      <c r="F1856" t="str">
        <f t="shared" si="579"/>
        <v>101</v>
      </c>
      <c r="G1856">
        <v>5</v>
      </c>
      <c r="H1856" t="str">
        <f t="shared" si="575"/>
        <v>11</v>
      </c>
      <c r="I1856" t="str">
        <f t="shared" si="554"/>
        <v>0</v>
      </c>
      <c r="J1856" t="str">
        <f t="shared" si="576"/>
        <v>00</v>
      </c>
      <c r="K1856">
        <v>20150723</v>
      </c>
      <c r="L1856" t="str">
        <f t="shared" si="571"/>
        <v>015108</v>
      </c>
      <c r="M1856" t="str">
        <f t="shared" si="572"/>
        <v>00701</v>
      </c>
      <c r="N1856" t="s">
        <v>120</v>
      </c>
      <c r="O1856">
        <v>13.41</v>
      </c>
      <c r="Q1856" t="s">
        <v>33</v>
      </c>
      <c r="R1856" t="s">
        <v>34</v>
      </c>
      <c r="S1856" t="s">
        <v>35</v>
      </c>
      <c r="T1856" t="s">
        <v>35</v>
      </c>
      <c r="U1856" t="s">
        <v>34</v>
      </c>
      <c r="V1856" t="str">
        <f>""</f>
        <v/>
      </c>
      <c r="W1856">
        <v>20150723</v>
      </c>
      <c r="X1856" t="s">
        <v>246</v>
      </c>
      <c r="Y1856" t="s">
        <v>399</v>
      </c>
      <c r="Z1856" t="s">
        <v>399</v>
      </c>
      <c r="AA1856">
        <v>0</v>
      </c>
      <c r="AB1856" t="s">
        <v>142</v>
      </c>
      <c r="AC1856" t="s">
        <v>41</v>
      </c>
      <c r="AD1856" t="s">
        <v>40</v>
      </c>
      <c r="AE1856" t="str">
        <f t="shared" si="570"/>
        <v>07</v>
      </c>
      <c r="AF1856" t="s">
        <v>40</v>
      </c>
    </row>
    <row r="1857" spans="1:32" x14ac:dyDescent="0.25">
      <c r="A1857">
        <v>5</v>
      </c>
      <c r="B1857">
        <v>420</v>
      </c>
      <c r="C1857" t="str">
        <f t="shared" si="573"/>
        <v>11</v>
      </c>
      <c r="D1857">
        <v>6399</v>
      </c>
      <c r="E1857" t="str">
        <f t="shared" si="578"/>
        <v>00</v>
      </c>
      <c r="F1857" t="str">
        <f t="shared" si="579"/>
        <v>101</v>
      </c>
      <c r="G1857">
        <v>5</v>
      </c>
      <c r="H1857" t="str">
        <f t="shared" si="575"/>
        <v>11</v>
      </c>
      <c r="I1857" t="str">
        <f t="shared" si="554"/>
        <v>0</v>
      </c>
      <c r="J1857" t="str">
        <f t="shared" si="576"/>
        <v>00</v>
      </c>
      <c r="K1857">
        <v>20150723</v>
      </c>
      <c r="L1857" t="str">
        <f t="shared" si="571"/>
        <v>015108</v>
      </c>
      <c r="M1857" t="str">
        <f t="shared" si="572"/>
        <v>00701</v>
      </c>
      <c r="N1857" t="s">
        <v>120</v>
      </c>
      <c r="O1857">
        <v>10.199999999999999</v>
      </c>
      <c r="Q1857" t="s">
        <v>33</v>
      </c>
      <c r="R1857" t="s">
        <v>34</v>
      </c>
      <c r="S1857" t="s">
        <v>35</v>
      </c>
      <c r="T1857" t="s">
        <v>35</v>
      </c>
      <c r="U1857" t="s">
        <v>34</v>
      </c>
      <c r="V1857" t="str">
        <f>""</f>
        <v/>
      </c>
      <c r="W1857">
        <v>20150723</v>
      </c>
      <c r="X1857" t="s">
        <v>246</v>
      </c>
      <c r="Y1857" t="s">
        <v>399</v>
      </c>
      <c r="Z1857" t="s">
        <v>399</v>
      </c>
      <c r="AA1857">
        <v>0</v>
      </c>
      <c r="AB1857" t="s">
        <v>142</v>
      </c>
      <c r="AC1857" t="s">
        <v>41</v>
      </c>
      <c r="AD1857" t="s">
        <v>40</v>
      </c>
      <c r="AE1857" t="str">
        <f t="shared" si="570"/>
        <v>07</v>
      </c>
      <c r="AF1857" t="s">
        <v>40</v>
      </c>
    </row>
    <row r="1858" spans="1:32" x14ac:dyDescent="0.25">
      <c r="A1858">
        <v>5</v>
      </c>
      <c r="B1858">
        <v>420</v>
      </c>
      <c r="C1858" t="str">
        <f t="shared" si="573"/>
        <v>11</v>
      </c>
      <c r="D1858">
        <v>6399</v>
      </c>
      <c r="E1858" t="str">
        <f t="shared" si="578"/>
        <v>00</v>
      </c>
      <c r="F1858" t="str">
        <f t="shared" si="579"/>
        <v>101</v>
      </c>
      <c r="G1858">
        <v>5</v>
      </c>
      <c r="H1858" t="str">
        <f t="shared" si="575"/>
        <v>11</v>
      </c>
      <c r="I1858" t="str">
        <f t="shared" ref="I1858:I1921" si="580">"0"</f>
        <v>0</v>
      </c>
      <c r="J1858" t="str">
        <f t="shared" si="576"/>
        <v>00</v>
      </c>
      <c r="K1858">
        <v>20150723</v>
      </c>
      <c r="L1858" t="str">
        <f t="shared" si="571"/>
        <v>015108</v>
      </c>
      <c r="M1858" t="str">
        <f t="shared" si="572"/>
        <v>00701</v>
      </c>
      <c r="N1858" t="s">
        <v>120</v>
      </c>
      <c r="O1858">
        <v>25.69</v>
      </c>
      <c r="Q1858" t="s">
        <v>33</v>
      </c>
      <c r="R1858" t="s">
        <v>34</v>
      </c>
      <c r="S1858" t="s">
        <v>35</v>
      </c>
      <c r="T1858" t="s">
        <v>35</v>
      </c>
      <c r="U1858" t="s">
        <v>34</v>
      </c>
      <c r="V1858" t="str">
        <f>""</f>
        <v/>
      </c>
      <c r="W1858">
        <v>20150723</v>
      </c>
      <c r="X1858" t="s">
        <v>246</v>
      </c>
      <c r="Y1858" t="s">
        <v>399</v>
      </c>
      <c r="Z1858" t="s">
        <v>399</v>
      </c>
      <c r="AA1858">
        <v>0</v>
      </c>
      <c r="AB1858" t="s">
        <v>142</v>
      </c>
      <c r="AC1858" t="s">
        <v>41</v>
      </c>
      <c r="AD1858" t="s">
        <v>40</v>
      </c>
      <c r="AE1858" t="str">
        <f t="shared" si="570"/>
        <v>07</v>
      </c>
      <c r="AF1858" t="s">
        <v>40</v>
      </c>
    </row>
    <row r="1859" spans="1:32" x14ac:dyDescent="0.25">
      <c r="A1859">
        <v>5</v>
      </c>
      <c r="B1859">
        <v>420</v>
      </c>
      <c r="C1859" t="str">
        <f t="shared" si="573"/>
        <v>11</v>
      </c>
      <c r="D1859">
        <v>6399</v>
      </c>
      <c r="E1859" t="str">
        <f t="shared" si="578"/>
        <v>00</v>
      </c>
      <c r="F1859" t="str">
        <f t="shared" si="579"/>
        <v>101</v>
      </c>
      <c r="G1859">
        <v>5</v>
      </c>
      <c r="H1859" t="str">
        <f t="shared" si="575"/>
        <v>11</v>
      </c>
      <c r="I1859" t="str">
        <f t="shared" si="580"/>
        <v>0</v>
      </c>
      <c r="J1859" t="str">
        <f t="shared" si="576"/>
        <v>00</v>
      </c>
      <c r="K1859">
        <v>20150723</v>
      </c>
      <c r="L1859" t="str">
        <f t="shared" si="571"/>
        <v>015108</v>
      </c>
      <c r="M1859" t="str">
        <f t="shared" si="572"/>
        <v>00701</v>
      </c>
      <c r="N1859" t="s">
        <v>120</v>
      </c>
      <c r="O1859">
        <v>7.85</v>
      </c>
      <c r="Q1859" t="s">
        <v>33</v>
      </c>
      <c r="R1859" t="s">
        <v>34</v>
      </c>
      <c r="S1859" t="s">
        <v>35</v>
      </c>
      <c r="T1859" t="s">
        <v>35</v>
      </c>
      <c r="U1859" t="s">
        <v>34</v>
      </c>
      <c r="V1859" t="str">
        <f>""</f>
        <v/>
      </c>
      <c r="W1859">
        <v>20150723</v>
      </c>
      <c r="X1859" t="s">
        <v>246</v>
      </c>
      <c r="Y1859" t="s">
        <v>399</v>
      </c>
      <c r="Z1859" t="s">
        <v>399</v>
      </c>
      <c r="AA1859">
        <v>0</v>
      </c>
      <c r="AB1859" t="s">
        <v>142</v>
      </c>
      <c r="AC1859" t="s">
        <v>41</v>
      </c>
      <c r="AD1859" t="s">
        <v>40</v>
      </c>
      <c r="AE1859" t="str">
        <f t="shared" si="570"/>
        <v>07</v>
      </c>
      <c r="AF1859" t="s">
        <v>40</v>
      </c>
    </row>
    <row r="1860" spans="1:32" x14ac:dyDescent="0.25">
      <c r="A1860">
        <v>5</v>
      </c>
      <c r="B1860">
        <v>420</v>
      </c>
      <c r="C1860" t="str">
        <f t="shared" si="573"/>
        <v>11</v>
      </c>
      <c r="D1860">
        <v>6399</v>
      </c>
      <c r="E1860" t="str">
        <f t="shared" si="578"/>
        <v>00</v>
      </c>
      <c r="F1860" t="str">
        <f t="shared" si="579"/>
        <v>101</v>
      </c>
      <c r="G1860">
        <v>5</v>
      </c>
      <c r="H1860" t="str">
        <f t="shared" si="575"/>
        <v>11</v>
      </c>
      <c r="I1860" t="str">
        <f t="shared" si="580"/>
        <v>0</v>
      </c>
      <c r="J1860" t="str">
        <f t="shared" si="576"/>
        <v>00</v>
      </c>
      <c r="K1860">
        <v>20150723</v>
      </c>
      <c r="L1860" t="str">
        <f t="shared" si="571"/>
        <v>015108</v>
      </c>
      <c r="M1860" t="str">
        <f t="shared" si="572"/>
        <v>00701</v>
      </c>
      <c r="N1860" t="s">
        <v>120</v>
      </c>
      <c r="O1860">
        <v>681.71</v>
      </c>
      <c r="Q1860" t="s">
        <v>33</v>
      </c>
      <c r="R1860" t="s">
        <v>34</v>
      </c>
      <c r="S1860" t="s">
        <v>35</v>
      </c>
      <c r="T1860" t="s">
        <v>35</v>
      </c>
      <c r="U1860" t="s">
        <v>34</v>
      </c>
      <c r="V1860" t="str">
        <f>""</f>
        <v/>
      </c>
      <c r="W1860">
        <v>20150723</v>
      </c>
      <c r="X1860" t="s">
        <v>246</v>
      </c>
      <c r="Y1860" t="s">
        <v>399</v>
      </c>
      <c r="Z1860" t="s">
        <v>399</v>
      </c>
      <c r="AA1860">
        <v>0</v>
      </c>
      <c r="AB1860" t="s">
        <v>142</v>
      </c>
      <c r="AC1860" t="s">
        <v>41</v>
      </c>
      <c r="AD1860" t="s">
        <v>40</v>
      </c>
      <c r="AE1860" t="str">
        <f t="shared" si="570"/>
        <v>07</v>
      </c>
      <c r="AF1860" t="s">
        <v>40</v>
      </c>
    </row>
    <row r="1861" spans="1:32" x14ac:dyDescent="0.25">
      <c r="A1861">
        <v>5</v>
      </c>
      <c r="B1861">
        <v>420</v>
      </c>
      <c r="C1861" t="str">
        <f>"34"</f>
        <v>34</v>
      </c>
      <c r="D1861">
        <v>6513</v>
      </c>
      <c r="E1861" t="str">
        <f t="shared" si="578"/>
        <v>00</v>
      </c>
      <c r="F1861" t="str">
        <f>"999"</f>
        <v>999</v>
      </c>
      <c r="G1861">
        <v>5</v>
      </c>
      <c r="H1861" t="str">
        <f>"99"</f>
        <v>99</v>
      </c>
      <c r="I1861" t="str">
        <f t="shared" si="580"/>
        <v>0</v>
      </c>
      <c r="J1861" t="str">
        <f t="shared" si="576"/>
        <v>00</v>
      </c>
      <c r="K1861">
        <v>20150723</v>
      </c>
      <c r="L1861" t="str">
        <f>"015109"</f>
        <v>015109</v>
      </c>
      <c r="M1861" t="str">
        <f>"00520"</f>
        <v>00520</v>
      </c>
      <c r="N1861" t="s">
        <v>329</v>
      </c>
      <c r="O1861" s="1">
        <v>1384.67</v>
      </c>
      <c r="Q1861" t="s">
        <v>33</v>
      </c>
      <c r="R1861" t="s">
        <v>34</v>
      </c>
      <c r="S1861" t="s">
        <v>35</v>
      </c>
      <c r="T1861" t="s">
        <v>35</v>
      </c>
      <c r="U1861" t="s">
        <v>34</v>
      </c>
      <c r="V1861" t="str">
        <f>""</f>
        <v/>
      </c>
      <c r="W1861">
        <v>20150723</v>
      </c>
      <c r="X1861" t="s">
        <v>330</v>
      </c>
      <c r="Y1861" t="s">
        <v>571</v>
      </c>
      <c r="Z1861" t="s">
        <v>571</v>
      </c>
      <c r="AA1861">
        <v>0</v>
      </c>
      <c r="AB1861" t="s">
        <v>142</v>
      </c>
      <c r="AC1861" t="s">
        <v>143</v>
      </c>
      <c r="AD1861" t="s">
        <v>40</v>
      </c>
      <c r="AE1861" t="str">
        <f t="shared" si="570"/>
        <v>07</v>
      </c>
      <c r="AF1861" t="s">
        <v>40</v>
      </c>
    </row>
    <row r="1862" spans="1:32" x14ac:dyDescent="0.25">
      <c r="A1862">
        <v>5</v>
      </c>
      <c r="B1862">
        <v>420</v>
      </c>
      <c r="C1862" t="str">
        <f>"34"</f>
        <v>34</v>
      </c>
      <c r="D1862">
        <v>6523</v>
      </c>
      <c r="E1862" t="str">
        <f t="shared" si="578"/>
        <v>00</v>
      </c>
      <c r="F1862" t="str">
        <f>"999"</f>
        <v>999</v>
      </c>
      <c r="G1862">
        <v>5</v>
      </c>
      <c r="H1862" t="str">
        <f>"99"</f>
        <v>99</v>
      </c>
      <c r="I1862" t="str">
        <f t="shared" si="580"/>
        <v>0</v>
      </c>
      <c r="J1862" t="str">
        <f t="shared" si="576"/>
        <v>00</v>
      </c>
      <c r="K1862">
        <v>20150723</v>
      </c>
      <c r="L1862" t="str">
        <f>"015109"</f>
        <v>015109</v>
      </c>
      <c r="M1862" t="str">
        <f>"00520"</f>
        <v>00520</v>
      </c>
      <c r="N1862" t="s">
        <v>329</v>
      </c>
      <c r="O1862">
        <v>330.78</v>
      </c>
      <c r="Q1862" t="s">
        <v>33</v>
      </c>
      <c r="R1862" t="s">
        <v>34</v>
      </c>
      <c r="S1862" t="s">
        <v>35</v>
      </c>
      <c r="T1862" t="s">
        <v>35</v>
      </c>
      <c r="U1862" t="s">
        <v>34</v>
      </c>
      <c r="V1862" t="str">
        <f>""</f>
        <v/>
      </c>
      <c r="W1862">
        <v>20150723</v>
      </c>
      <c r="X1862" t="s">
        <v>640</v>
      </c>
      <c r="Y1862" t="s">
        <v>571</v>
      </c>
      <c r="Z1862" t="s">
        <v>571</v>
      </c>
      <c r="AA1862">
        <v>0</v>
      </c>
      <c r="AB1862" t="s">
        <v>142</v>
      </c>
      <c r="AC1862" t="s">
        <v>143</v>
      </c>
      <c r="AD1862" t="s">
        <v>40</v>
      </c>
      <c r="AE1862" t="str">
        <f t="shared" si="570"/>
        <v>07</v>
      </c>
      <c r="AF1862" t="s">
        <v>40</v>
      </c>
    </row>
    <row r="1863" spans="1:32" x14ac:dyDescent="0.25">
      <c r="A1863">
        <v>5</v>
      </c>
      <c r="B1863">
        <v>420</v>
      </c>
      <c r="C1863" t="str">
        <f t="shared" ref="C1863:C1872" si="581">"00"</f>
        <v>00</v>
      </c>
      <c r="D1863">
        <v>2153</v>
      </c>
      <c r="E1863" t="str">
        <f t="shared" si="578"/>
        <v>00</v>
      </c>
      <c r="F1863" t="str">
        <f>"008"</f>
        <v>008</v>
      </c>
      <c r="G1863">
        <v>5</v>
      </c>
      <c r="H1863" t="str">
        <f t="shared" ref="H1863:H1872" si="582">"00"</f>
        <v>00</v>
      </c>
      <c r="I1863" t="str">
        <f t="shared" si="580"/>
        <v>0</v>
      </c>
      <c r="J1863" t="str">
        <f t="shared" si="576"/>
        <v>00</v>
      </c>
      <c r="K1863">
        <v>20150723</v>
      </c>
      <c r="L1863" t="str">
        <f>"015110"</f>
        <v>015110</v>
      </c>
      <c r="M1863" t="str">
        <f>"00012"</f>
        <v>00012</v>
      </c>
      <c r="N1863" t="s">
        <v>279</v>
      </c>
      <c r="O1863">
        <v>410.58</v>
      </c>
      <c r="Q1863" t="s">
        <v>33</v>
      </c>
      <c r="R1863" t="s">
        <v>34</v>
      </c>
      <c r="S1863" t="s">
        <v>35</v>
      </c>
      <c r="T1863" t="s">
        <v>35</v>
      </c>
      <c r="U1863" t="s">
        <v>34</v>
      </c>
      <c r="V1863" t="str">
        <f>""</f>
        <v/>
      </c>
      <c r="W1863">
        <v>20150723</v>
      </c>
      <c r="X1863" t="s">
        <v>280</v>
      </c>
      <c r="Y1863" t="s">
        <v>954</v>
      </c>
      <c r="Z1863" t="s">
        <v>954</v>
      </c>
      <c r="AA1863">
        <v>0</v>
      </c>
      <c r="AB1863" t="s">
        <v>142</v>
      </c>
      <c r="AC1863" t="s">
        <v>282</v>
      </c>
      <c r="AD1863" t="s">
        <v>144</v>
      </c>
      <c r="AE1863" t="str">
        <f t="shared" si="570"/>
        <v>07</v>
      </c>
      <c r="AF1863" t="s">
        <v>40</v>
      </c>
    </row>
    <row r="1864" spans="1:32" x14ac:dyDescent="0.25">
      <c r="A1864">
        <v>5</v>
      </c>
      <c r="B1864">
        <v>420</v>
      </c>
      <c r="C1864" t="str">
        <f t="shared" si="581"/>
        <v>00</v>
      </c>
      <c r="D1864">
        <v>2159</v>
      </c>
      <c r="E1864" t="str">
        <f t="shared" si="578"/>
        <v>00</v>
      </c>
      <c r="F1864" t="str">
        <f>"009"</f>
        <v>009</v>
      </c>
      <c r="G1864">
        <v>5</v>
      </c>
      <c r="H1864" t="str">
        <f t="shared" si="582"/>
        <v>00</v>
      </c>
      <c r="I1864" t="str">
        <f t="shared" si="580"/>
        <v>0</v>
      </c>
      <c r="J1864" t="str">
        <f t="shared" si="576"/>
        <v>00</v>
      </c>
      <c r="K1864">
        <v>20150723</v>
      </c>
      <c r="L1864" t="str">
        <f>"015110"</f>
        <v>015110</v>
      </c>
      <c r="M1864" t="str">
        <f>"00012"</f>
        <v>00012</v>
      </c>
      <c r="N1864" t="s">
        <v>279</v>
      </c>
      <c r="O1864">
        <v>380.11</v>
      </c>
      <c r="Q1864" t="s">
        <v>33</v>
      </c>
      <c r="R1864" t="s">
        <v>34</v>
      </c>
      <c r="S1864" t="s">
        <v>35</v>
      </c>
      <c r="T1864" t="s">
        <v>35</v>
      </c>
      <c r="U1864" t="s">
        <v>34</v>
      </c>
      <c r="V1864" t="str">
        <f>""</f>
        <v/>
      </c>
      <c r="W1864">
        <v>20150723</v>
      </c>
      <c r="X1864" t="s">
        <v>283</v>
      </c>
      <c r="Y1864" t="s">
        <v>955</v>
      </c>
      <c r="Z1864" t="s">
        <v>955</v>
      </c>
      <c r="AA1864">
        <v>0</v>
      </c>
      <c r="AB1864" t="s">
        <v>142</v>
      </c>
      <c r="AC1864" t="s">
        <v>285</v>
      </c>
      <c r="AD1864" t="s">
        <v>144</v>
      </c>
      <c r="AE1864" t="str">
        <f t="shared" si="570"/>
        <v>07</v>
      </c>
      <c r="AF1864" t="s">
        <v>40</v>
      </c>
    </row>
    <row r="1865" spans="1:32" x14ac:dyDescent="0.25">
      <c r="A1865">
        <v>5</v>
      </c>
      <c r="B1865">
        <v>420</v>
      </c>
      <c r="C1865" t="str">
        <f t="shared" si="581"/>
        <v>00</v>
      </c>
      <c r="D1865">
        <v>2153</v>
      </c>
      <c r="E1865" t="str">
        <f t="shared" si="578"/>
        <v>00</v>
      </c>
      <c r="F1865" t="str">
        <f>"005"</f>
        <v>005</v>
      </c>
      <c r="G1865">
        <v>5</v>
      </c>
      <c r="H1865" t="str">
        <f t="shared" si="582"/>
        <v>00</v>
      </c>
      <c r="I1865" t="str">
        <f t="shared" si="580"/>
        <v>0</v>
      </c>
      <c r="J1865" t="str">
        <f t="shared" si="576"/>
        <v>00</v>
      </c>
      <c r="K1865">
        <v>20150723</v>
      </c>
      <c r="L1865" t="str">
        <f>"015111"</f>
        <v>015111</v>
      </c>
      <c r="M1865" t="str">
        <f>"00226"</f>
        <v>00226</v>
      </c>
      <c r="N1865" t="s">
        <v>877</v>
      </c>
      <c r="O1865">
        <v>687.76</v>
      </c>
      <c r="Q1865" t="s">
        <v>33</v>
      </c>
      <c r="R1865" t="s">
        <v>34</v>
      </c>
      <c r="S1865" t="s">
        <v>35</v>
      </c>
      <c r="T1865" t="s">
        <v>35</v>
      </c>
      <c r="U1865" t="s">
        <v>34</v>
      </c>
      <c r="V1865" t="str">
        <f>""</f>
        <v/>
      </c>
      <c r="W1865">
        <v>20150723</v>
      </c>
      <c r="X1865" t="s">
        <v>287</v>
      </c>
      <c r="Y1865" t="s">
        <v>954</v>
      </c>
      <c r="Z1865" t="s">
        <v>954</v>
      </c>
      <c r="AA1865">
        <v>0</v>
      </c>
      <c r="AB1865" t="s">
        <v>142</v>
      </c>
      <c r="AC1865" t="s">
        <v>288</v>
      </c>
      <c r="AD1865" t="s">
        <v>144</v>
      </c>
      <c r="AE1865" t="str">
        <f t="shared" si="570"/>
        <v>07</v>
      </c>
      <c r="AF1865" t="s">
        <v>40</v>
      </c>
    </row>
    <row r="1866" spans="1:32" x14ac:dyDescent="0.25">
      <c r="A1866">
        <v>5</v>
      </c>
      <c r="B1866">
        <v>420</v>
      </c>
      <c r="C1866" t="str">
        <f t="shared" si="581"/>
        <v>00</v>
      </c>
      <c r="D1866">
        <v>2153</v>
      </c>
      <c r="E1866" t="str">
        <f t="shared" si="578"/>
        <v>00</v>
      </c>
      <c r="F1866" t="str">
        <f>"006"</f>
        <v>006</v>
      </c>
      <c r="G1866">
        <v>5</v>
      </c>
      <c r="H1866" t="str">
        <f t="shared" si="582"/>
        <v>00</v>
      </c>
      <c r="I1866" t="str">
        <f t="shared" si="580"/>
        <v>0</v>
      </c>
      <c r="J1866" t="str">
        <f t="shared" si="576"/>
        <v>00</v>
      </c>
      <c r="K1866">
        <v>20150723</v>
      </c>
      <c r="L1866" t="str">
        <f>"015111"</f>
        <v>015111</v>
      </c>
      <c r="M1866" t="str">
        <f>"00226"</f>
        <v>00226</v>
      </c>
      <c r="N1866" t="s">
        <v>877</v>
      </c>
      <c r="O1866">
        <v>162.06</v>
      </c>
      <c r="Q1866" t="s">
        <v>33</v>
      </c>
      <c r="R1866" t="s">
        <v>34</v>
      </c>
      <c r="S1866" t="s">
        <v>35</v>
      </c>
      <c r="T1866" t="s">
        <v>35</v>
      </c>
      <c r="U1866" t="s">
        <v>34</v>
      </c>
      <c r="V1866" t="str">
        <f>""</f>
        <v/>
      </c>
      <c r="W1866">
        <v>20150723</v>
      </c>
      <c r="X1866" t="s">
        <v>289</v>
      </c>
      <c r="Y1866" t="s">
        <v>954</v>
      </c>
      <c r="Z1866" t="s">
        <v>954</v>
      </c>
      <c r="AA1866">
        <v>0</v>
      </c>
      <c r="AB1866" t="s">
        <v>142</v>
      </c>
      <c r="AC1866" t="s">
        <v>290</v>
      </c>
      <c r="AD1866" t="s">
        <v>144</v>
      </c>
      <c r="AE1866" t="str">
        <f t="shared" si="570"/>
        <v>07</v>
      </c>
      <c r="AF1866" t="s">
        <v>40</v>
      </c>
    </row>
    <row r="1867" spans="1:32" x14ac:dyDescent="0.25">
      <c r="A1867">
        <v>5</v>
      </c>
      <c r="B1867">
        <v>420</v>
      </c>
      <c r="C1867" t="str">
        <f t="shared" si="581"/>
        <v>00</v>
      </c>
      <c r="D1867">
        <v>2159</v>
      </c>
      <c r="E1867" t="str">
        <f t="shared" si="578"/>
        <v>00</v>
      </c>
      <c r="F1867" t="str">
        <f>"021"</f>
        <v>021</v>
      </c>
      <c r="G1867">
        <v>5</v>
      </c>
      <c r="H1867" t="str">
        <f t="shared" si="582"/>
        <v>00</v>
      </c>
      <c r="I1867" t="str">
        <f t="shared" si="580"/>
        <v>0</v>
      </c>
      <c r="J1867" t="str">
        <f t="shared" si="576"/>
        <v>00</v>
      </c>
      <c r="K1867">
        <v>20150723</v>
      </c>
      <c r="L1867" t="str">
        <f>"015112"</f>
        <v>015112</v>
      </c>
      <c r="M1867" t="str">
        <f>"00291"</f>
        <v>00291</v>
      </c>
      <c r="N1867" t="s">
        <v>658</v>
      </c>
      <c r="O1867">
        <v>320</v>
      </c>
      <c r="Q1867" t="s">
        <v>33</v>
      </c>
      <c r="R1867" t="s">
        <v>34</v>
      </c>
      <c r="S1867" t="s">
        <v>35</v>
      </c>
      <c r="T1867" t="s">
        <v>35</v>
      </c>
      <c r="U1867" t="s">
        <v>34</v>
      </c>
      <c r="V1867" t="str">
        <f>""</f>
        <v/>
      </c>
      <c r="W1867">
        <v>20150723</v>
      </c>
      <c r="X1867" t="s">
        <v>292</v>
      </c>
      <c r="Y1867" t="s">
        <v>956</v>
      </c>
      <c r="Z1867" t="s">
        <v>956</v>
      </c>
      <c r="AA1867">
        <v>0</v>
      </c>
      <c r="AB1867" t="s">
        <v>142</v>
      </c>
      <c r="AC1867" t="s">
        <v>294</v>
      </c>
      <c r="AD1867" t="s">
        <v>144</v>
      </c>
      <c r="AE1867" t="str">
        <f t="shared" si="570"/>
        <v>07</v>
      </c>
      <c r="AF1867" t="s">
        <v>40</v>
      </c>
    </row>
    <row r="1868" spans="1:32" x14ac:dyDescent="0.25">
      <c r="A1868">
        <v>5</v>
      </c>
      <c r="B1868">
        <v>420</v>
      </c>
      <c r="C1868" t="str">
        <f t="shared" si="581"/>
        <v>00</v>
      </c>
      <c r="D1868">
        <v>2159</v>
      </c>
      <c r="E1868" t="str">
        <f t="shared" si="578"/>
        <v>00</v>
      </c>
      <c r="F1868" t="str">
        <f>"150"</f>
        <v>150</v>
      </c>
      <c r="G1868">
        <v>5</v>
      </c>
      <c r="H1868" t="str">
        <f t="shared" si="582"/>
        <v>00</v>
      </c>
      <c r="I1868" t="str">
        <f t="shared" si="580"/>
        <v>0</v>
      </c>
      <c r="J1868" t="str">
        <f t="shared" si="576"/>
        <v>00</v>
      </c>
      <c r="K1868">
        <v>20150723</v>
      </c>
      <c r="L1868" t="str">
        <f>"015113"</f>
        <v>015113</v>
      </c>
      <c r="M1868" t="str">
        <f>"00355"</f>
        <v>00355</v>
      </c>
      <c r="N1868" t="s">
        <v>295</v>
      </c>
      <c r="O1868">
        <v>417.16</v>
      </c>
      <c r="Q1868" t="s">
        <v>33</v>
      </c>
      <c r="R1868" t="s">
        <v>34</v>
      </c>
      <c r="S1868" t="s">
        <v>35</v>
      </c>
      <c r="T1868" t="s">
        <v>35</v>
      </c>
      <c r="U1868" t="s">
        <v>34</v>
      </c>
      <c r="V1868" t="str">
        <f>""</f>
        <v/>
      </c>
      <c r="W1868">
        <v>20150723</v>
      </c>
      <c r="X1868" t="s">
        <v>296</v>
      </c>
      <c r="Y1868" t="s">
        <v>956</v>
      </c>
      <c r="Z1868" t="s">
        <v>956</v>
      </c>
      <c r="AA1868">
        <v>0</v>
      </c>
      <c r="AB1868" t="s">
        <v>142</v>
      </c>
      <c r="AC1868" t="s">
        <v>297</v>
      </c>
      <c r="AD1868" t="s">
        <v>144</v>
      </c>
      <c r="AE1868" t="str">
        <f t="shared" si="570"/>
        <v>07</v>
      </c>
      <c r="AF1868" t="s">
        <v>40</v>
      </c>
    </row>
    <row r="1869" spans="1:32" x14ac:dyDescent="0.25">
      <c r="A1869">
        <v>5</v>
      </c>
      <c r="B1869">
        <v>420</v>
      </c>
      <c r="C1869" t="str">
        <f t="shared" si="581"/>
        <v>00</v>
      </c>
      <c r="D1869">
        <v>2159</v>
      </c>
      <c r="E1869" t="str">
        <f t="shared" si="578"/>
        <v>00</v>
      </c>
      <c r="F1869" t="str">
        <f>"154"</f>
        <v>154</v>
      </c>
      <c r="G1869">
        <v>5</v>
      </c>
      <c r="H1869" t="str">
        <f t="shared" si="582"/>
        <v>00</v>
      </c>
      <c r="I1869" t="str">
        <f t="shared" si="580"/>
        <v>0</v>
      </c>
      <c r="J1869" t="str">
        <f t="shared" si="576"/>
        <v>00</v>
      </c>
      <c r="K1869">
        <v>20150723</v>
      </c>
      <c r="L1869" t="str">
        <f>"015114"</f>
        <v>015114</v>
      </c>
      <c r="M1869" t="str">
        <f>"00684"</f>
        <v>00684</v>
      </c>
      <c r="N1869" t="s">
        <v>466</v>
      </c>
      <c r="O1869">
        <v>680</v>
      </c>
      <c r="Q1869" t="s">
        <v>33</v>
      </c>
      <c r="R1869" t="s">
        <v>34</v>
      </c>
      <c r="S1869" t="s">
        <v>35</v>
      </c>
      <c r="T1869" t="s">
        <v>35</v>
      </c>
      <c r="U1869" t="s">
        <v>34</v>
      </c>
      <c r="V1869" t="str">
        <f>""</f>
        <v/>
      </c>
      <c r="W1869">
        <v>20150723</v>
      </c>
      <c r="X1869" t="s">
        <v>467</v>
      </c>
      <c r="Y1869" t="s">
        <v>956</v>
      </c>
      <c r="Z1869" t="s">
        <v>956</v>
      </c>
      <c r="AA1869">
        <v>0</v>
      </c>
      <c r="AB1869" t="s">
        <v>142</v>
      </c>
      <c r="AC1869" t="s">
        <v>468</v>
      </c>
      <c r="AD1869" t="s">
        <v>144</v>
      </c>
      <c r="AE1869" t="str">
        <f t="shared" si="570"/>
        <v>07</v>
      </c>
      <c r="AF1869" t="s">
        <v>40</v>
      </c>
    </row>
    <row r="1870" spans="1:32" x14ac:dyDescent="0.25">
      <c r="A1870">
        <v>5</v>
      </c>
      <c r="B1870">
        <v>420</v>
      </c>
      <c r="C1870" t="str">
        <f t="shared" si="581"/>
        <v>00</v>
      </c>
      <c r="D1870">
        <v>2159</v>
      </c>
      <c r="E1870" t="str">
        <f t="shared" si="578"/>
        <v>00</v>
      </c>
      <c r="F1870" t="str">
        <f>"158"</f>
        <v>158</v>
      </c>
      <c r="G1870">
        <v>5</v>
      </c>
      <c r="H1870" t="str">
        <f t="shared" si="582"/>
        <v>00</v>
      </c>
      <c r="I1870" t="str">
        <f t="shared" si="580"/>
        <v>0</v>
      </c>
      <c r="J1870" t="str">
        <f t="shared" si="576"/>
        <v>00</v>
      </c>
      <c r="K1870">
        <v>20150723</v>
      </c>
      <c r="L1870" t="str">
        <f>"015115"</f>
        <v>015115</v>
      </c>
      <c r="M1870" t="str">
        <f>"00773"</f>
        <v>00773</v>
      </c>
      <c r="N1870" t="s">
        <v>298</v>
      </c>
      <c r="O1870">
        <v>25</v>
      </c>
      <c r="Q1870" t="s">
        <v>33</v>
      </c>
      <c r="R1870" t="s">
        <v>34</v>
      </c>
      <c r="S1870" t="s">
        <v>35</v>
      </c>
      <c r="T1870" t="s">
        <v>35</v>
      </c>
      <c r="U1870" t="s">
        <v>34</v>
      </c>
      <c r="V1870" t="str">
        <f>""</f>
        <v/>
      </c>
      <c r="W1870">
        <v>20150723</v>
      </c>
      <c r="X1870" t="s">
        <v>299</v>
      </c>
      <c r="Y1870" t="s">
        <v>957</v>
      </c>
      <c r="Z1870" t="s">
        <v>957</v>
      </c>
      <c r="AA1870">
        <v>0</v>
      </c>
      <c r="AB1870" t="s">
        <v>142</v>
      </c>
      <c r="AC1870" t="s">
        <v>298</v>
      </c>
      <c r="AD1870" t="s">
        <v>144</v>
      </c>
      <c r="AE1870" t="str">
        <f t="shared" ref="AE1870:AE1885" si="583">"07"</f>
        <v>07</v>
      </c>
      <c r="AF1870" t="s">
        <v>40</v>
      </c>
    </row>
    <row r="1871" spans="1:32" x14ac:dyDescent="0.25">
      <c r="A1871">
        <v>5</v>
      </c>
      <c r="B1871">
        <v>420</v>
      </c>
      <c r="C1871" t="str">
        <f t="shared" si="581"/>
        <v>00</v>
      </c>
      <c r="D1871">
        <v>2159</v>
      </c>
      <c r="E1871" t="str">
        <f t="shared" si="578"/>
        <v>00</v>
      </c>
      <c r="F1871" t="str">
        <f>"164"</f>
        <v>164</v>
      </c>
      <c r="G1871">
        <v>5</v>
      </c>
      <c r="H1871" t="str">
        <f t="shared" si="582"/>
        <v>00</v>
      </c>
      <c r="I1871" t="str">
        <f t="shared" si="580"/>
        <v>0</v>
      </c>
      <c r="J1871" t="str">
        <f t="shared" si="576"/>
        <v>00</v>
      </c>
      <c r="K1871">
        <v>20150723</v>
      </c>
      <c r="L1871" t="str">
        <f>"015116"</f>
        <v>015116</v>
      </c>
      <c r="M1871" t="str">
        <f>"00787"</f>
        <v>00787</v>
      </c>
      <c r="N1871" t="s">
        <v>469</v>
      </c>
      <c r="O1871">
        <v>225</v>
      </c>
      <c r="Q1871" t="s">
        <v>33</v>
      </c>
      <c r="R1871" t="s">
        <v>34</v>
      </c>
      <c r="S1871" t="s">
        <v>35</v>
      </c>
      <c r="T1871" t="s">
        <v>35</v>
      </c>
      <c r="U1871" t="s">
        <v>34</v>
      </c>
      <c r="V1871" t="str">
        <f>""</f>
        <v/>
      </c>
      <c r="W1871">
        <v>20150723</v>
      </c>
      <c r="X1871" t="s">
        <v>470</v>
      </c>
      <c r="Y1871" t="s">
        <v>957</v>
      </c>
      <c r="Z1871" t="s">
        <v>957</v>
      </c>
      <c r="AA1871">
        <v>0</v>
      </c>
      <c r="AB1871" t="s">
        <v>142</v>
      </c>
      <c r="AC1871" t="s">
        <v>472</v>
      </c>
      <c r="AD1871" t="s">
        <v>144</v>
      </c>
      <c r="AE1871" t="str">
        <f t="shared" si="583"/>
        <v>07</v>
      </c>
      <c r="AF1871" t="s">
        <v>40</v>
      </c>
    </row>
    <row r="1872" spans="1:32" x14ac:dyDescent="0.25">
      <c r="A1872">
        <v>5</v>
      </c>
      <c r="B1872">
        <v>420</v>
      </c>
      <c r="C1872" t="str">
        <f t="shared" si="581"/>
        <v>00</v>
      </c>
      <c r="D1872">
        <v>2159</v>
      </c>
      <c r="E1872" t="str">
        <f t="shared" si="578"/>
        <v>00</v>
      </c>
      <c r="F1872" t="str">
        <f>"165"</f>
        <v>165</v>
      </c>
      <c r="G1872">
        <v>5</v>
      </c>
      <c r="H1872" t="str">
        <f t="shared" si="582"/>
        <v>00</v>
      </c>
      <c r="I1872" t="str">
        <f t="shared" si="580"/>
        <v>0</v>
      </c>
      <c r="J1872" t="str">
        <f t="shared" si="576"/>
        <v>00</v>
      </c>
      <c r="K1872">
        <v>20150723</v>
      </c>
      <c r="L1872" t="str">
        <f>"015117"</f>
        <v>015117</v>
      </c>
      <c r="M1872" t="str">
        <f>"00794"</f>
        <v>00794</v>
      </c>
      <c r="N1872" t="s">
        <v>613</v>
      </c>
      <c r="O1872">
        <v>30</v>
      </c>
      <c r="Q1872" t="s">
        <v>33</v>
      </c>
      <c r="R1872" t="s">
        <v>34</v>
      </c>
      <c r="S1872" t="s">
        <v>35</v>
      </c>
      <c r="T1872" t="s">
        <v>35</v>
      </c>
      <c r="U1872" t="s">
        <v>34</v>
      </c>
      <c r="V1872" t="str">
        <f>""</f>
        <v/>
      </c>
      <c r="W1872">
        <v>20150723</v>
      </c>
      <c r="X1872" t="s">
        <v>614</v>
      </c>
      <c r="Y1872" t="s">
        <v>956</v>
      </c>
      <c r="Z1872" t="s">
        <v>956</v>
      </c>
      <c r="AA1872">
        <v>0</v>
      </c>
      <c r="AB1872" t="s">
        <v>142</v>
      </c>
      <c r="AC1872" t="s">
        <v>613</v>
      </c>
      <c r="AD1872" t="s">
        <v>144</v>
      </c>
      <c r="AE1872" t="str">
        <f t="shared" si="583"/>
        <v>07</v>
      </c>
      <c r="AF1872" t="s">
        <v>40</v>
      </c>
    </row>
    <row r="1873" spans="1:32" x14ac:dyDescent="0.25">
      <c r="A1873">
        <v>5</v>
      </c>
      <c r="B1873">
        <v>420</v>
      </c>
      <c r="C1873" t="str">
        <f>"51"</f>
        <v>51</v>
      </c>
      <c r="D1873">
        <v>6269</v>
      </c>
      <c r="E1873" t="str">
        <f t="shared" si="578"/>
        <v>00</v>
      </c>
      <c r="F1873" t="str">
        <f>"999"</f>
        <v>999</v>
      </c>
      <c r="G1873">
        <v>5</v>
      </c>
      <c r="H1873" t="str">
        <f t="shared" ref="H1873:H1885" si="584">"99"</f>
        <v>99</v>
      </c>
      <c r="I1873" t="str">
        <f t="shared" si="580"/>
        <v>0</v>
      </c>
      <c r="J1873" t="str">
        <f t="shared" si="576"/>
        <v>00</v>
      </c>
      <c r="K1873">
        <v>20150731</v>
      </c>
      <c r="L1873" t="str">
        <f>"015118"</f>
        <v>015118</v>
      </c>
      <c r="M1873" t="str">
        <f>"00035"</f>
        <v>00035</v>
      </c>
      <c r="N1873" t="s">
        <v>698</v>
      </c>
      <c r="O1873">
        <v>301.52</v>
      </c>
      <c r="Q1873" t="s">
        <v>33</v>
      </c>
      <c r="R1873" t="s">
        <v>34</v>
      </c>
      <c r="S1873" t="s">
        <v>35</v>
      </c>
      <c r="T1873" t="s">
        <v>35</v>
      </c>
      <c r="U1873" t="s">
        <v>34</v>
      </c>
      <c r="V1873" t="str">
        <f>""</f>
        <v/>
      </c>
      <c r="W1873">
        <v>20150803</v>
      </c>
      <c r="X1873" t="s">
        <v>225</v>
      </c>
      <c r="Y1873" t="s">
        <v>308</v>
      </c>
      <c r="Z1873" t="s">
        <v>308</v>
      </c>
      <c r="AA1873">
        <v>0</v>
      </c>
      <c r="AB1873" t="s">
        <v>142</v>
      </c>
      <c r="AC1873" t="s">
        <v>143</v>
      </c>
      <c r="AD1873" t="s">
        <v>40</v>
      </c>
      <c r="AE1873" t="str">
        <f t="shared" si="583"/>
        <v>07</v>
      </c>
      <c r="AF1873" t="s">
        <v>40</v>
      </c>
    </row>
    <row r="1874" spans="1:32" x14ac:dyDescent="0.25">
      <c r="A1874">
        <v>5</v>
      </c>
      <c r="B1874">
        <v>420</v>
      </c>
      <c r="C1874" t="str">
        <f>"34"</f>
        <v>34</v>
      </c>
      <c r="D1874">
        <v>6219</v>
      </c>
      <c r="E1874" t="str">
        <f t="shared" si="578"/>
        <v>00</v>
      </c>
      <c r="F1874" t="str">
        <f>"999"</f>
        <v>999</v>
      </c>
      <c r="G1874">
        <v>5</v>
      </c>
      <c r="H1874" t="str">
        <f t="shared" si="584"/>
        <v>99</v>
      </c>
      <c r="I1874" t="str">
        <f t="shared" si="580"/>
        <v>0</v>
      </c>
      <c r="J1874" t="str">
        <f t="shared" si="576"/>
        <v>00</v>
      </c>
      <c r="K1874">
        <v>20150731</v>
      </c>
      <c r="L1874" t="str">
        <f>"015119"</f>
        <v>015119</v>
      </c>
      <c r="M1874" t="str">
        <f>"00516"</f>
        <v>00516</v>
      </c>
      <c r="N1874" t="s">
        <v>139</v>
      </c>
      <c r="O1874">
        <v>160</v>
      </c>
      <c r="Q1874" t="s">
        <v>33</v>
      </c>
      <c r="R1874" t="s">
        <v>34</v>
      </c>
      <c r="S1874" t="s">
        <v>35</v>
      </c>
      <c r="T1874" t="s">
        <v>35</v>
      </c>
      <c r="U1874" t="s">
        <v>34</v>
      </c>
      <c r="V1874" t="str">
        <f>""</f>
        <v/>
      </c>
      <c r="W1874">
        <v>20150803</v>
      </c>
      <c r="X1874" t="s">
        <v>140</v>
      </c>
      <c r="Y1874" t="s">
        <v>958</v>
      </c>
      <c r="Z1874" t="s">
        <v>958</v>
      </c>
      <c r="AA1874">
        <v>0</v>
      </c>
      <c r="AB1874" t="s">
        <v>142</v>
      </c>
      <c r="AC1874" t="s">
        <v>143</v>
      </c>
      <c r="AD1874" t="s">
        <v>40</v>
      </c>
      <c r="AE1874" t="str">
        <f t="shared" si="583"/>
        <v>07</v>
      </c>
      <c r="AF1874" t="s">
        <v>40</v>
      </c>
    </row>
    <row r="1875" spans="1:32" x14ac:dyDescent="0.25">
      <c r="A1875">
        <v>5</v>
      </c>
      <c r="B1875">
        <v>420</v>
      </c>
      <c r="C1875" t="str">
        <f>"41"</f>
        <v>41</v>
      </c>
      <c r="D1875">
        <v>6219</v>
      </c>
      <c r="E1875" t="str">
        <f t="shared" si="578"/>
        <v>00</v>
      </c>
      <c r="F1875" t="str">
        <f>"750"</f>
        <v>750</v>
      </c>
      <c r="G1875">
        <v>5</v>
      </c>
      <c r="H1875" t="str">
        <f t="shared" si="584"/>
        <v>99</v>
      </c>
      <c r="I1875" t="str">
        <f t="shared" si="580"/>
        <v>0</v>
      </c>
      <c r="J1875" t="str">
        <f t="shared" si="576"/>
        <v>00</v>
      </c>
      <c r="K1875">
        <v>20150731</v>
      </c>
      <c r="L1875" t="str">
        <f>"015120"</f>
        <v>015120</v>
      </c>
      <c r="M1875" t="str">
        <f>"00883"</f>
        <v>00883</v>
      </c>
      <c r="N1875" t="s">
        <v>959</v>
      </c>
      <c r="O1875" s="1">
        <v>5000</v>
      </c>
      <c r="Q1875" t="s">
        <v>33</v>
      </c>
      <c r="R1875" t="s">
        <v>34</v>
      </c>
      <c r="S1875" t="s">
        <v>35</v>
      </c>
      <c r="T1875" t="s">
        <v>35</v>
      </c>
      <c r="U1875" t="s">
        <v>34</v>
      </c>
      <c r="V1875" t="str">
        <f>""</f>
        <v/>
      </c>
      <c r="W1875">
        <v>20150803</v>
      </c>
      <c r="X1875" t="s">
        <v>255</v>
      </c>
      <c r="Y1875" t="s">
        <v>960</v>
      </c>
      <c r="Z1875" t="s">
        <v>960</v>
      </c>
      <c r="AA1875">
        <v>0</v>
      </c>
      <c r="AB1875" t="s">
        <v>142</v>
      </c>
      <c r="AC1875" t="s">
        <v>170</v>
      </c>
      <c r="AD1875" t="s">
        <v>40</v>
      </c>
      <c r="AE1875" t="str">
        <f t="shared" si="583"/>
        <v>07</v>
      </c>
      <c r="AF1875" t="s">
        <v>40</v>
      </c>
    </row>
    <row r="1876" spans="1:32" x14ac:dyDescent="0.25">
      <c r="A1876">
        <v>5</v>
      </c>
      <c r="B1876">
        <v>420</v>
      </c>
      <c r="C1876" t="str">
        <f>"51"</f>
        <v>51</v>
      </c>
      <c r="D1876">
        <v>6259</v>
      </c>
      <c r="E1876" t="str">
        <f>"53"</f>
        <v>53</v>
      </c>
      <c r="F1876" t="str">
        <f t="shared" ref="F1876:F1885" si="585">"999"</f>
        <v>999</v>
      </c>
      <c r="G1876">
        <v>5</v>
      </c>
      <c r="H1876" t="str">
        <f t="shared" si="584"/>
        <v>99</v>
      </c>
      <c r="I1876" t="str">
        <f t="shared" si="580"/>
        <v>0</v>
      </c>
      <c r="J1876" t="str">
        <f t="shared" si="576"/>
        <v>00</v>
      </c>
      <c r="K1876">
        <v>20150731</v>
      </c>
      <c r="L1876" t="str">
        <f>"015121"</f>
        <v>015121</v>
      </c>
      <c r="M1876" t="str">
        <f>"00726"</f>
        <v>00726</v>
      </c>
      <c r="N1876" t="s">
        <v>227</v>
      </c>
      <c r="O1876" s="1">
        <v>1739.76</v>
      </c>
      <c r="Q1876" t="s">
        <v>33</v>
      </c>
      <c r="R1876" t="s">
        <v>34</v>
      </c>
      <c r="S1876" t="s">
        <v>35</v>
      </c>
      <c r="T1876" t="s">
        <v>35</v>
      </c>
      <c r="U1876" t="s">
        <v>34</v>
      </c>
      <c r="V1876" t="str">
        <f>""</f>
        <v/>
      </c>
      <c r="W1876">
        <v>20150731</v>
      </c>
      <c r="X1876" t="s">
        <v>228</v>
      </c>
      <c r="Y1876" t="s">
        <v>621</v>
      </c>
      <c r="Z1876" t="s">
        <v>621</v>
      </c>
      <c r="AA1876">
        <v>0</v>
      </c>
      <c r="AB1876" t="s">
        <v>142</v>
      </c>
      <c r="AC1876" t="s">
        <v>143</v>
      </c>
      <c r="AD1876" t="s">
        <v>40</v>
      </c>
      <c r="AE1876" t="str">
        <f t="shared" si="583"/>
        <v>07</v>
      </c>
      <c r="AF1876" t="s">
        <v>40</v>
      </c>
    </row>
    <row r="1877" spans="1:32" x14ac:dyDescent="0.25">
      <c r="A1877">
        <v>5</v>
      </c>
      <c r="B1877">
        <v>420</v>
      </c>
      <c r="C1877" t="str">
        <f>"51"</f>
        <v>51</v>
      </c>
      <c r="D1877">
        <v>6259</v>
      </c>
      <c r="E1877" t="str">
        <f>"53"</f>
        <v>53</v>
      </c>
      <c r="F1877" t="str">
        <f t="shared" si="585"/>
        <v>999</v>
      </c>
      <c r="G1877">
        <v>5</v>
      </c>
      <c r="H1877" t="str">
        <f t="shared" si="584"/>
        <v>99</v>
      </c>
      <c r="I1877" t="str">
        <f t="shared" si="580"/>
        <v>0</v>
      </c>
      <c r="J1877" t="str">
        <f t="shared" si="576"/>
        <v>00</v>
      </c>
      <c r="K1877">
        <v>20150731</v>
      </c>
      <c r="L1877" t="str">
        <f>"015121"</f>
        <v>015121</v>
      </c>
      <c r="M1877" t="str">
        <f>"00726"</f>
        <v>00726</v>
      </c>
      <c r="N1877" t="s">
        <v>227</v>
      </c>
      <c r="O1877" s="1">
        <v>2329.1</v>
      </c>
      <c r="Q1877" t="s">
        <v>33</v>
      </c>
      <c r="R1877" t="s">
        <v>34</v>
      </c>
      <c r="S1877" t="s">
        <v>35</v>
      </c>
      <c r="T1877" t="s">
        <v>35</v>
      </c>
      <c r="U1877" t="s">
        <v>34</v>
      </c>
      <c r="V1877" t="str">
        <f>""</f>
        <v/>
      </c>
      <c r="W1877">
        <v>20150731</v>
      </c>
      <c r="X1877" t="s">
        <v>228</v>
      </c>
      <c r="Y1877" t="s">
        <v>621</v>
      </c>
      <c r="Z1877" t="s">
        <v>621</v>
      </c>
      <c r="AA1877">
        <v>0</v>
      </c>
      <c r="AB1877" t="s">
        <v>142</v>
      </c>
      <c r="AC1877" t="s">
        <v>143</v>
      </c>
      <c r="AD1877" t="s">
        <v>40</v>
      </c>
      <c r="AE1877" t="str">
        <f t="shared" si="583"/>
        <v>07</v>
      </c>
      <c r="AF1877" t="s">
        <v>40</v>
      </c>
    </row>
    <row r="1878" spans="1:32" x14ac:dyDescent="0.25">
      <c r="A1878">
        <v>5</v>
      </c>
      <c r="B1878">
        <v>420</v>
      </c>
      <c r="C1878" t="str">
        <f>"51"</f>
        <v>51</v>
      </c>
      <c r="D1878">
        <v>6259</v>
      </c>
      <c r="E1878" t="str">
        <f>"53"</f>
        <v>53</v>
      </c>
      <c r="F1878" t="str">
        <f t="shared" si="585"/>
        <v>999</v>
      </c>
      <c r="G1878">
        <v>5</v>
      </c>
      <c r="H1878" t="str">
        <f t="shared" si="584"/>
        <v>99</v>
      </c>
      <c r="I1878" t="str">
        <f t="shared" si="580"/>
        <v>0</v>
      </c>
      <c r="J1878" t="str">
        <f t="shared" si="576"/>
        <v>00</v>
      </c>
      <c r="K1878">
        <v>20150731</v>
      </c>
      <c r="L1878" t="str">
        <f>"015121"</f>
        <v>015121</v>
      </c>
      <c r="M1878" t="str">
        <f>"00726"</f>
        <v>00726</v>
      </c>
      <c r="N1878" t="s">
        <v>227</v>
      </c>
      <c r="O1878">
        <v>601.4</v>
      </c>
      <c r="Q1878" t="s">
        <v>33</v>
      </c>
      <c r="R1878" t="s">
        <v>34</v>
      </c>
      <c r="S1878" t="s">
        <v>35</v>
      </c>
      <c r="T1878" t="s">
        <v>35</v>
      </c>
      <c r="U1878" t="s">
        <v>34</v>
      </c>
      <c r="V1878" t="str">
        <f>""</f>
        <v/>
      </c>
      <c r="W1878">
        <v>20150731</v>
      </c>
      <c r="X1878" t="s">
        <v>228</v>
      </c>
      <c r="Y1878" t="s">
        <v>621</v>
      </c>
      <c r="Z1878" t="s">
        <v>621</v>
      </c>
      <c r="AA1878">
        <v>0</v>
      </c>
      <c r="AB1878" t="s">
        <v>142</v>
      </c>
      <c r="AC1878" t="s">
        <v>143</v>
      </c>
      <c r="AD1878" t="s">
        <v>40</v>
      </c>
      <c r="AE1878" t="str">
        <f t="shared" si="583"/>
        <v>07</v>
      </c>
      <c r="AF1878" t="s">
        <v>40</v>
      </c>
    </row>
    <row r="1879" spans="1:32" x14ac:dyDescent="0.25">
      <c r="A1879">
        <v>5</v>
      </c>
      <c r="B1879">
        <v>420</v>
      </c>
      <c r="C1879" t="str">
        <f>"51"</f>
        <v>51</v>
      </c>
      <c r="D1879">
        <v>6259</v>
      </c>
      <c r="E1879" t="str">
        <f>"53"</f>
        <v>53</v>
      </c>
      <c r="F1879" t="str">
        <f t="shared" si="585"/>
        <v>999</v>
      </c>
      <c r="G1879">
        <v>5</v>
      </c>
      <c r="H1879" t="str">
        <f t="shared" si="584"/>
        <v>99</v>
      </c>
      <c r="I1879" t="str">
        <f t="shared" si="580"/>
        <v>0</v>
      </c>
      <c r="J1879" t="str">
        <f t="shared" si="576"/>
        <v>00</v>
      </c>
      <c r="K1879">
        <v>20150731</v>
      </c>
      <c r="L1879" t="str">
        <f>"015121"</f>
        <v>015121</v>
      </c>
      <c r="M1879" t="str">
        <f>"00726"</f>
        <v>00726</v>
      </c>
      <c r="N1879" t="s">
        <v>227</v>
      </c>
      <c r="O1879">
        <v>394.3</v>
      </c>
      <c r="Q1879" t="s">
        <v>33</v>
      </c>
      <c r="R1879" t="s">
        <v>34</v>
      </c>
      <c r="S1879" t="s">
        <v>35</v>
      </c>
      <c r="T1879" t="s">
        <v>35</v>
      </c>
      <c r="U1879" t="s">
        <v>34</v>
      </c>
      <c r="V1879" t="str">
        <f>""</f>
        <v/>
      </c>
      <c r="W1879">
        <v>20150731</v>
      </c>
      <c r="X1879" t="s">
        <v>228</v>
      </c>
      <c r="Y1879" t="s">
        <v>621</v>
      </c>
      <c r="Z1879" t="s">
        <v>621</v>
      </c>
      <c r="AA1879">
        <v>0</v>
      </c>
      <c r="AB1879" t="s">
        <v>142</v>
      </c>
      <c r="AC1879" t="s">
        <v>143</v>
      </c>
      <c r="AD1879" t="s">
        <v>40</v>
      </c>
      <c r="AE1879" t="str">
        <f t="shared" si="583"/>
        <v>07</v>
      </c>
      <c r="AF1879" t="s">
        <v>40</v>
      </c>
    </row>
    <row r="1880" spans="1:32" x14ac:dyDescent="0.25">
      <c r="A1880">
        <v>5</v>
      </c>
      <c r="B1880">
        <v>420</v>
      </c>
      <c r="C1880" t="str">
        <f>"53"</f>
        <v>53</v>
      </c>
      <c r="D1880">
        <v>6219</v>
      </c>
      <c r="E1880" t="str">
        <f>"00"</f>
        <v>00</v>
      </c>
      <c r="F1880" t="str">
        <f t="shared" si="585"/>
        <v>999</v>
      </c>
      <c r="G1880">
        <v>5</v>
      </c>
      <c r="H1880" t="str">
        <f t="shared" si="584"/>
        <v>99</v>
      </c>
      <c r="I1880" t="str">
        <f t="shared" si="580"/>
        <v>0</v>
      </c>
      <c r="J1880" t="str">
        <f t="shared" si="576"/>
        <v>00</v>
      </c>
      <c r="K1880">
        <v>20150731</v>
      </c>
      <c r="L1880" t="str">
        <f>"015122"</f>
        <v>015122</v>
      </c>
      <c r="M1880" t="str">
        <f>"00414"</f>
        <v>00414</v>
      </c>
      <c r="N1880" t="s">
        <v>898</v>
      </c>
      <c r="O1880" s="1">
        <v>2000</v>
      </c>
      <c r="Q1880" t="s">
        <v>33</v>
      </c>
      <c r="R1880" t="s">
        <v>34</v>
      </c>
      <c r="S1880" t="s">
        <v>35</v>
      </c>
      <c r="T1880" t="s">
        <v>35</v>
      </c>
      <c r="U1880" t="s">
        <v>34</v>
      </c>
      <c r="V1880" t="str">
        <f>""</f>
        <v/>
      </c>
      <c r="W1880">
        <v>20150803</v>
      </c>
      <c r="X1880" t="s">
        <v>365</v>
      </c>
      <c r="Y1880" t="s">
        <v>961</v>
      </c>
      <c r="Z1880" t="s">
        <v>961</v>
      </c>
      <c r="AA1880">
        <v>0</v>
      </c>
      <c r="AB1880" t="s">
        <v>142</v>
      </c>
      <c r="AC1880" t="s">
        <v>143</v>
      </c>
      <c r="AD1880" t="s">
        <v>40</v>
      </c>
      <c r="AE1880" t="str">
        <f t="shared" si="583"/>
        <v>07</v>
      </c>
      <c r="AF1880" t="s">
        <v>40</v>
      </c>
    </row>
    <row r="1881" spans="1:32" x14ac:dyDescent="0.25">
      <c r="A1881">
        <v>5</v>
      </c>
      <c r="B1881">
        <v>240</v>
      </c>
      <c r="C1881" t="str">
        <f>"35"</f>
        <v>35</v>
      </c>
      <c r="D1881">
        <v>6299</v>
      </c>
      <c r="E1881" t="str">
        <f>"00"</f>
        <v>00</v>
      </c>
      <c r="F1881" t="str">
        <f t="shared" si="585"/>
        <v>999</v>
      </c>
      <c r="G1881">
        <v>5</v>
      </c>
      <c r="H1881" t="str">
        <f t="shared" si="584"/>
        <v>99</v>
      </c>
      <c r="I1881" t="str">
        <f t="shared" si="580"/>
        <v>0</v>
      </c>
      <c r="J1881" t="str">
        <f t="shared" si="576"/>
        <v>00</v>
      </c>
      <c r="K1881">
        <v>20150731</v>
      </c>
      <c r="L1881" t="str">
        <f>"015123"</f>
        <v>015123</v>
      </c>
      <c r="M1881" t="str">
        <f>"00577"</f>
        <v>00577</v>
      </c>
      <c r="N1881" t="s">
        <v>251</v>
      </c>
      <c r="O1881">
        <v>25.63</v>
      </c>
      <c r="Q1881" t="s">
        <v>33</v>
      </c>
      <c r="R1881" t="s">
        <v>34</v>
      </c>
      <c r="S1881" t="s">
        <v>35</v>
      </c>
      <c r="T1881" t="s">
        <v>35</v>
      </c>
      <c r="U1881" t="s">
        <v>34</v>
      </c>
      <c r="V1881" t="str">
        <f>""</f>
        <v/>
      </c>
      <c r="W1881">
        <v>20150803</v>
      </c>
      <c r="X1881" t="s">
        <v>252</v>
      </c>
      <c r="Y1881" t="s">
        <v>253</v>
      </c>
      <c r="Z1881" t="s">
        <v>253</v>
      </c>
      <c r="AA1881">
        <v>0</v>
      </c>
      <c r="AB1881" t="s">
        <v>238</v>
      </c>
      <c r="AC1881" t="s">
        <v>143</v>
      </c>
      <c r="AD1881" t="s">
        <v>40</v>
      </c>
      <c r="AE1881" t="str">
        <f t="shared" si="583"/>
        <v>07</v>
      </c>
      <c r="AF1881" t="s">
        <v>40</v>
      </c>
    </row>
    <row r="1882" spans="1:32" x14ac:dyDescent="0.25">
      <c r="A1882">
        <v>5</v>
      </c>
      <c r="B1882">
        <v>240</v>
      </c>
      <c r="C1882" t="str">
        <f>"35"</f>
        <v>35</v>
      </c>
      <c r="D1882">
        <v>6299</v>
      </c>
      <c r="E1882" t="str">
        <f>"00"</f>
        <v>00</v>
      </c>
      <c r="F1882" t="str">
        <f t="shared" si="585"/>
        <v>999</v>
      </c>
      <c r="G1882">
        <v>5</v>
      </c>
      <c r="H1882" t="str">
        <f t="shared" si="584"/>
        <v>99</v>
      </c>
      <c r="I1882" t="str">
        <f t="shared" si="580"/>
        <v>0</v>
      </c>
      <c r="J1882" t="str">
        <f t="shared" si="576"/>
        <v>00</v>
      </c>
      <c r="K1882">
        <v>20150731</v>
      </c>
      <c r="L1882" t="str">
        <f>"015123"</f>
        <v>015123</v>
      </c>
      <c r="M1882" t="str">
        <f>"00577"</f>
        <v>00577</v>
      </c>
      <c r="N1882" t="s">
        <v>251</v>
      </c>
      <c r="O1882">
        <v>25.63</v>
      </c>
      <c r="Q1882" t="s">
        <v>33</v>
      </c>
      <c r="R1882" t="s">
        <v>34</v>
      </c>
      <c r="S1882" t="s">
        <v>35</v>
      </c>
      <c r="T1882" t="s">
        <v>35</v>
      </c>
      <c r="U1882" t="s">
        <v>34</v>
      </c>
      <c r="V1882" t="str">
        <f>""</f>
        <v/>
      </c>
      <c r="W1882">
        <v>20150803</v>
      </c>
      <c r="X1882" t="s">
        <v>252</v>
      </c>
      <c r="Y1882" t="s">
        <v>253</v>
      </c>
      <c r="Z1882" t="s">
        <v>253</v>
      </c>
      <c r="AA1882">
        <v>0</v>
      </c>
      <c r="AB1882" t="s">
        <v>238</v>
      </c>
      <c r="AC1882" t="s">
        <v>143</v>
      </c>
      <c r="AD1882" t="s">
        <v>40</v>
      </c>
      <c r="AE1882" t="str">
        <f t="shared" si="583"/>
        <v>07</v>
      </c>
      <c r="AF1882" t="s">
        <v>40</v>
      </c>
    </row>
    <row r="1883" spans="1:32" x14ac:dyDescent="0.25">
      <c r="A1883">
        <v>5</v>
      </c>
      <c r="B1883">
        <v>420</v>
      </c>
      <c r="C1883" t="str">
        <f>"51"</f>
        <v>51</v>
      </c>
      <c r="D1883">
        <v>6299</v>
      </c>
      <c r="E1883" t="str">
        <f>"00"</f>
        <v>00</v>
      </c>
      <c r="F1883" t="str">
        <f t="shared" si="585"/>
        <v>999</v>
      </c>
      <c r="G1883">
        <v>5</v>
      </c>
      <c r="H1883" t="str">
        <f t="shared" si="584"/>
        <v>99</v>
      </c>
      <c r="I1883" t="str">
        <f t="shared" si="580"/>
        <v>0</v>
      </c>
      <c r="J1883" t="str">
        <f t="shared" si="576"/>
        <v>00</v>
      </c>
      <c r="K1883">
        <v>20150731</v>
      </c>
      <c r="L1883" t="str">
        <f>"015123"</f>
        <v>015123</v>
      </c>
      <c r="M1883" t="str">
        <f>"00577"</f>
        <v>00577</v>
      </c>
      <c r="N1883" t="s">
        <v>251</v>
      </c>
      <c r="O1883">
        <v>63.72</v>
      </c>
      <c r="Q1883" t="s">
        <v>33</v>
      </c>
      <c r="R1883" t="s">
        <v>34</v>
      </c>
      <c r="S1883" t="s">
        <v>35</v>
      </c>
      <c r="T1883" t="s">
        <v>35</v>
      </c>
      <c r="U1883" t="s">
        <v>34</v>
      </c>
      <c r="V1883" t="str">
        <f>""</f>
        <v/>
      </c>
      <c r="W1883">
        <v>20150803</v>
      </c>
      <c r="X1883" t="s">
        <v>203</v>
      </c>
      <c r="Y1883" t="s">
        <v>253</v>
      </c>
      <c r="Z1883" t="s">
        <v>253</v>
      </c>
      <c r="AA1883">
        <v>0</v>
      </c>
      <c r="AB1883" t="s">
        <v>142</v>
      </c>
      <c r="AC1883" t="s">
        <v>143</v>
      </c>
      <c r="AD1883" t="s">
        <v>40</v>
      </c>
      <c r="AE1883" t="str">
        <f t="shared" si="583"/>
        <v>07</v>
      </c>
      <c r="AF1883" t="s">
        <v>40</v>
      </c>
    </row>
    <row r="1884" spans="1:32" x14ac:dyDescent="0.25">
      <c r="A1884">
        <v>5</v>
      </c>
      <c r="B1884">
        <v>420</v>
      </c>
      <c r="C1884" t="str">
        <f>"51"</f>
        <v>51</v>
      </c>
      <c r="D1884">
        <v>6299</v>
      </c>
      <c r="E1884" t="str">
        <f>"00"</f>
        <v>00</v>
      </c>
      <c r="F1884" t="str">
        <f t="shared" si="585"/>
        <v>999</v>
      </c>
      <c r="G1884">
        <v>5</v>
      </c>
      <c r="H1884" t="str">
        <f t="shared" si="584"/>
        <v>99</v>
      </c>
      <c r="I1884" t="str">
        <f t="shared" si="580"/>
        <v>0</v>
      </c>
      <c r="J1884" t="str">
        <f t="shared" si="576"/>
        <v>00</v>
      </c>
      <c r="K1884">
        <v>20150731</v>
      </c>
      <c r="L1884" t="str">
        <f>"015123"</f>
        <v>015123</v>
      </c>
      <c r="M1884" t="str">
        <f>"00577"</f>
        <v>00577</v>
      </c>
      <c r="N1884" t="s">
        <v>251</v>
      </c>
      <c r="O1884">
        <v>63.72</v>
      </c>
      <c r="Q1884" t="s">
        <v>33</v>
      </c>
      <c r="R1884" t="s">
        <v>34</v>
      </c>
      <c r="S1884" t="s">
        <v>35</v>
      </c>
      <c r="T1884" t="s">
        <v>35</v>
      </c>
      <c r="U1884" t="s">
        <v>34</v>
      </c>
      <c r="V1884" t="str">
        <f>""</f>
        <v/>
      </c>
      <c r="W1884">
        <v>20150803</v>
      </c>
      <c r="X1884" t="s">
        <v>203</v>
      </c>
      <c r="Y1884" t="s">
        <v>253</v>
      </c>
      <c r="Z1884" t="s">
        <v>253</v>
      </c>
      <c r="AA1884">
        <v>0</v>
      </c>
      <c r="AB1884" t="s">
        <v>142</v>
      </c>
      <c r="AC1884" t="s">
        <v>143</v>
      </c>
      <c r="AD1884" t="s">
        <v>40</v>
      </c>
      <c r="AE1884" t="str">
        <f t="shared" si="583"/>
        <v>07</v>
      </c>
      <c r="AF1884" t="s">
        <v>40</v>
      </c>
    </row>
    <row r="1885" spans="1:32" x14ac:dyDescent="0.25">
      <c r="A1885">
        <v>5</v>
      </c>
      <c r="B1885">
        <v>420</v>
      </c>
      <c r="C1885" t="str">
        <f>"51"</f>
        <v>51</v>
      </c>
      <c r="D1885">
        <v>6259</v>
      </c>
      <c r="E1885" t="str">
        <f>"54"</f>
        <v>54</v>
      </c>
      <c r="F1885" t="str">
        <f t="shared" si="585"/>
        <v>999</v>
      </c>
      <c r="G1885">
        <v>5</v>
      </c>
      <c r="H1885" t="str">
        <f t="shared" si="584"/>
        <v>99</v>
      </c>
      <c r="I1885" t="str">
        <f t="shared" si="580"/>
        <v>0</v>
      </c>
      <c r="J1885" t="str">
        <f t="shared" si="576"/>
        <v>00</v>
      </c>
      <c r="K1885">
        <v>20150731</v>
      </c>
      <c r="L1885" t="str">
        <f>"015125"</f>
        <v>015125</v>
      </c>
      <c r="M1885" t="str">
        <f>"00887"</f>
        <v>00887</v>
      </c>
      <c r="N1885" t="s">
        <v>962</v>
      </c>
      <c r="O1885" s="1">
        <v>4015.37</v>
      </c>
      <c r="Q1885" t="s">
        <v>33</v>
      </c>
      <c r="R1885" t="s">
        <v>34</v>
      </c>
      <c r="S1885" t="s">
        <v>35</v>
      </c>
      <c r="T1885" t="s">
        <v>35</v>
      </c>
      <c r="U1885" t="s">
        <v>34</v>
      </c>
      <c r="V1885" t="str">
        <f>""</f>
        <v/>
      </c>
      <c r="W1885">
        <v>20150803</v>
      </c>
      <c r="X1885" t="s">
        <v>216</v>
      </c>
      <c r="Y1885" t="s">
        <v>273</v>
      </c>
      <c r="Z1885" t="s">
        <v>273</v>
      </c>
      <c r="AA1885">
        <v>0</v>
      </c>
      <c r="AB1885" t="s">
        <v>142</v>
      </c>
      <c r="AC1885" t="s">
        <v>143</v>
      </c>
      <c r="AD1885" t="s">
        <v>40</v>
      </c>
      <c r="AE1885" t="str">
        <f t="shared" si="583"/>
        <v>07</v>
      </c>
      <c r="AF1885" t="s">
        <v>40</v>
      </c>
    </row>
    <row r="1886" spans="1:32" x14ac:dyDescent="0.25">
      <c r="A1886">
        <v>5</v>
      </c>
      <c r="B1886">
        <v>420</v>
      </c>
      <c r="C1886" t="str">
        <f t="shared" ref="C1886:C1917" si="586">"00"</f>
        <v>00</v>
      </c>
      <c r="D1886">
        <v>2159</v>
      </c>
      <c r="E1886" t="str">
        <f t="shared" ref="E1886:E1899" si="587">"00"</f>
        <v>00</v>
      </c>
      <c r="F1886" t="str">
        <f t="shared" ref="F1886:F1898" si="588">"007"</f>
        <v>007</v>
      </c>
      <c r="G1886">
        <v>5</v>
      </c>
      <c r="H1886" t="str">
        <f t="shared" ref="H1886:H1917" si="589">"00"</f>
        <v>00</v>
      </c>
      <c r="I1886" t="str">
        <f t="shared" si="580"/>
        <v>0</v>
      </c>
      <c r="J1886" t="str">
        <f t="shared" si="576"/>
        <v>00</v>
      </c>
      <c r="K1886">
        <v>20150126</v>
      </c>
      <c r="L1886" t="str">
        <f>"CSP01"</f>
        <v>CSP01</v>
      </c>
      <c r="M1886" t="str">
        <f t="shared" ref="M1886:M1898" si="590">"00735"</f>
        <v>00735</v>
      </c>
      <c r="N1886" t="s">
        <v>963</v>
      </c>
      <c r="O1886">
        <v>945.07</v>
      </c>
      <c r="Q1886" t="s">
        <v>33</v>
      </c>
      <c r="R1886" t="s">
        <v>34</v>
      </c>
      <c r="S1886" t="s">
        <v>35</v>
      </c>
      <c r="T1886" t="s">
        <v>35</v>
      </c>
      <c r="U1886" t="s">
        <v>34</v>
      </c>
      <c r="V1886" t="str">
        <f>""</f>
        <v/>
      </c>
      <c r="W1886">
        <v>20150126</v>
      </c>
      <c r="X1886" t="s">
        <v>964</v>
      </c>
      <c r="Y1886" t="s">
        <v>965</v>
      </c>
      <c r="Z1886" t="s">
        <v>965</v>
      </c>
      <c r="AA1886">
        <v>0</v>
      </c>
      <c r="AB1886" t="s">
        <v>142</v>
      </c>
      <c r="AC1886" t="s">
        <v>966</v>
      </c>
      <c r="AD1886" t="s">
        <v>144</v>
      </c>
      <c r="AE1886" t="str">
        <f>"01"</f>
        <v>01</v>
      </c>
      <c r="AF1886" t="s">
        <v>40</v>
      </c>
    </row>
    <row r="1887" spans="1:32" x14ac:dyDescent="0.25">
      <c r="A1887">
        <v>5</v>
      </c>
      <c r="B1887">
        <v>420</v>
      </c>
      <c r="C1887" t="str">
        <f t="shared" si="586"/>
        <v>00</v>
      </c>
      <c r="D1887">
        <v>2159</v>
      </c>
      <c r="E1887" t="str">
        <f t="shared" si="587"/>
        <v>00</v>
      </c>
      <c r="F1887" t="str">
        <f t="shared" si="588"/>
        <v>007</v>
      </c>
      <c r="G1887">
        <v>5</v>
      </c>
      <c r="H1887" t="str">
        <f t="shared" si="589"/>
        <v>00</v>
      </c>
      <c r="I1887" t="str">
        <f t="shared" si="580"/>
        <v>0</v>
      </c>
      <c r="J1887" t="str">
        <f t="shared" si="576"/>
        <v>00</v>
      </c>
      <c r="K1887">
        <v>20150302</v>
      </c>
      <c r="L1887" t="str">
        <f>"CSP02"</f>
        <v>CSP02</v>
      </c>
      <c r="M1887" t="str">
        <f t="shared" si="590"/>
        <v>00735</v>
      </c>
      <c r="N1887" t="s">
        <v>963</v>
      </c>
      <c r="O1887">
        <v>945.07</v>
      </c>
      <c r="Q1887" t="s">
        <v>33</v>
      </c>
      <c r="R1887" t="s">
        <v>34</v>
      </c>
      <c r="S1887" t="s">
        <v>35</v>
      </c>
      <c r="T1887" t="s">
        <v>35</v>
      </c>
      <c r="U1887" t="s">
        <v>34</v>
      </c>
      <c r="V1887" t="str">
        <f>""</f>
        <v/>
      </c>
      <c r="W1887">
        <v>20150302</v>
      </c>
      <c r="X1887" t="s">
        <v>964</v>
      </c>
      <c r="Y1887" t="s">
        <v>967</v>
      </c>
      <c r="Z1887" t="s">
        <v>967</v>
      </c>
      <c r="AA1887">
        <v>0</v>
      </c>
      <c r="AB1887" t="s">
        <v>142</v>
      </c>
      <c r="AC1887" t="s">
        <v>966</v>
      </c>
      <c r="AD1887" t="s">
        <v>144</v>
      </c>
      <c r="AE1887" t="str">
        <f>"03"</f>
        <v>03</v>
      </c>
      <c r="AF1887" t="s">
        <v>40</v>
      </c>
    </row>
    <row r="1888" spans="1:32" x14ac:dyDescent="0.25">
      <c r="A1888">
        <v>5</v>
      </c>
      <c r="B1888">
        <v>420</v>
      </c>
      <c r="C1888" t="str">
        <f t="shared" si="586"/>
        <v>00</v>
      </c>
      <c r="D1888">
        <v>2159</v>
      </c>
      <c r="E1888" t="str">
        <f t="shared" si="587"/>
        <v>00</v>
      </c>
      <c r="F1888" t="str">
        <f t="shared" si="588"/>
        <v>007</v>
      </c>
      <c r="G1888">
        <v>5</v>
      </c>
      <c r="H1888" t="str">
        <f t="shared" si="589"/>
        <v>00</v>
      </c>
      <c r="I1888" t="str">
        <f t="shared" si="580"/>
        <v>0</v>
      </c>
      <c r="J1888" t="str">
        <f t="shared" si="576"/>
        <v>00</v>
      </c>
      <c r="K1888">
        <v>20150320</v>
      </c>
      <c r="L1888" t="str">
        <f>"CSP03"</f>
        <v>CSP03</v>
      </c>
      <c r="M1888" t="str">
        <f t="shared" si="590"/>
        <v>00735</v>
      </c>
      <c r="N1888" t="s">
        <v>963</v>
      </c>
      <c r="O1888">
        <v>959</v>
      </c>
      <c r="Q1888" t="s">
        <v>33</v>
      </c>
      <c r="R1888" t="s">
        <v>34</v>
      </c>
      <c r="S1888" t="s">
        <v>35</v>
      </c>
      <c r="T1888" t="s">
        <v>35</v>
      </c>
      <c r="U1888" t="s">
        <v>34</v>
      </c>
      <c r="V1888" t="str">
        <f>""</f>
        <v/>
      </c>
      <c r="W1888">
        <v>20150320</v>
      </c>
      <c r="X1888" t="s">
        <v>964</v>
      </c>
      <c r="Y1888" t="s">
        <v>967</v>
      </c>
      <c r="Z1888" t="s">
        <v>967</v>
      </c>
      <c r="AA1888">
        <v>0</v>
      </c>
      <c r="AB1888" t="s">
        <v>142</v>
      </c>
      <c r="AC1888" t="s">
        <v>966</v>
      </c>
      <c r="AD1888" t="s">
        <v>144</v>
      </c>
      <c r="AE1888" t="str">
        <f>"03"</f>
        <v>03</v>
      </c>
      <c r="AF1888" t="s">
        <v>40</v>
      </c>
    </row>
    <row r="1889" spans="1:32" x14ac:dyDescent="0.25">
      <c r="A1889">
        <v>5</v>
      </c>
      <c r="B1889">
        <v>420</v>
      </c>
      <c r="C1889" t="str">
        <f t="shared" si="586"/>
        <v>00</v>
      </c>
      <c r="D1889">
        <v>2159</v>
      </c>
      <c r="E1889" t="str">
        <f t="shared" si="587"/>
        <v>00</v>
      </c>
      <c r="F1889" t="str">
        <f t="shared" si="588"/>
        <v>007</v>
      </c>
      <c r="G1889">
        <v>5</v>
      </c>
      <c r="H1889" t="str">
        <f t="shared" si="589"/>
        <v>00</v>
      </c>
      <c r="I1889" t="str">
        <f t="shared" si="580"/>
        <v>0</v>
      </c>
      <c r="J1889" t="str">
        <f t="shared" si="576"/>
        <v>00</v>
      </c>
      <c r="K1889">
        <v>20150423</v>
      </c>
      <c r="L1889" t="str">
        <f>"CSP04"</f>
        <v>CSP04</v>
      </c>
      <c r="M1889" t="str">
        <f t="shared" si="590"/>
        <v>00735</v>
      </c>
      <c r="N1889" t="s">
        <v>963</v>
      </c>
      <c r="O1889">
        <v>959</v>
      </c>
      <c r="Q1889" t="s">
        <v>33</v>
      </c>
      <c r="R1889" t="s">
        <v>34</v>
      </c>
      <c r="S1889" t="s">
        <v>35</v>
      </c>
      <c r="T1889" t="s">
        <v>35</v>
      </c>
      <c r="U1889" t="s">
        <v>34</v>
      </c>
      <c r="V1889" t="str">
        <f>""</f>
        <v/>
      </c>
      <c r="W1889">
        <v>20150423</v>
      </c>
      <c r="X1889" t="s">
        <v>964</v>
      </c>
      <c r="Y1889" t="s">
        <v>968</v>
      </c>
      <c r="Z1889" t="s">
        <v>968</v>
      </c>
      <c r="AA1889">
        <v>0</v>
      </c>
      <c r="AB1889" t="s">
        <v>142</v>
      </c>
      <c r="AC1889" t="s">
        <v>966</v>
      </c>
      <c r="AD1889" t="s">
        <v>144</v>
      </c>
      <c r="AE1889" t="str">
        <f>"04"</f>
        <v>04</v>
      </c>
      <c r="AF1889" t="s">
        <v>40</v>
      </c>
    </row>
    <row r="1890" spans="1:32" x14ac:dyDescent="0.25">
      <c r="A1890">
        <v>5</v>
      </c>
      <c r="B1890">
        <v>420</v>
      </c>
      <c r="C1890" t="str">
        <f t="shared" si="586"/>
        <v>00</v>
      </c>
      <c r="D1890">
        <v>2159</v>
      </c>
      <c r="E1890" t="str">
        <f t="shared" si="587"/>
        <v>00</v>
      </c>
      <c r="F1890" t="str">
        <f t="shared" si="588"/>
        <v>007</v>
      </c>
      <c r="G1890">
        <v>5</v>
      </c>
      <c r="H1890" t="str">
        <f t="shared" si="589"/>
        <v>00</v>
      </c>
      <c r="I1890" t="str">
        <f t="shared" si="580"/>
        <v>0</v>
      </c>
      <c r="J1890" t="str">
        <f t="shared" si="576"/>
        <v>00</v>
      </c>
      <c r="K1890">
        <v>20150527</v>
      </c>
      <c r="L1890" t="str">
        <f>"CSP05"</f>
        <v>CSP05</v>
      </c>
      <c r="M1890" t="str">
        <f t="shared" si="590"/>
        <v>00735</v>
      </c>
      <c r="N1890" t="s">
        <v>963</v>
      </c>
      <c r="O1890">
        <v>959</v>
      </c>
      <c r="Q1890" t="s">
        <v>33</v>
      </c>
      <c r="R1890" t="s">
        <v>34</v>
      </c>
      <c r="S1890" t="s">
        <v>35</v>
      </c>
      <c r="T1890" t="s">
        <v>35</v>
      </c>
      <c r="U1890" t="s">
        <v>34</v>
      </c>
      <c r="V1890" t="str">
        <f>""</f>
        <v/>
      </c>
      <c r="W1890">
        <v>20150527</v>
      </c>
      <c r="X1890" t="s">
        <v>964</v>
      </c>
      <c r="Y1890" t="s">
        <v>969</v>
      </c>
      <c r="Z1890" t="s">
        <v>969</v>
      </c>
      <c r="AA1890">
        <v>0</v>
      </c>
      <c r="AB1890" t="s">
        <v>142</v>
      </c>
      <c r="AC1890" t="s">
        <v>966</v>
      </c>
      <c r="AD1890" t="s">
        <v>144</v>
      </c>
      <c r="AE1890" t="str">
        <f>"05"</f>
        <v>05</v>
      </c>
      <c r="AF1890" t="s">
        <v>40</v>
      </c>
    </row>
    <row r="1891" spans="1:32" x14ac:dyDescent="0.25">
      <c r="A1891">
        <v>5</v>
      </c>
      <c r="B1891">
        <v>420</v>
      </c>
      <c r="C1891" t="str">
        <f t="shared" si="586"/>
        <v>00</v>
      </c>
      <c r="D1891">
        <v>2159</v>
      </c>
      <c r="E1891" t="str">
        <f t="shared" si="587"/>
        <v>00</v>
      </c>
      <c r="F1891" t="str">
        <f t="shared" si="588"/>
        <v>007</v>
      </c>
      <c r="G1891">
        <v>5</v>
      </c>
      <c r="H1891" t="str">
        <f t="shared" si="589"/>
        <v>00</v>
      </c>
      <c r="I1891" t="str">
        <f t="shared" si="580"/>
        <v>0</v>
      </c>
      <c r="J1891" t="str">
        <f t="shared" si="576"/>
        <v>00</v>
      </c>
      <c r="K1891">
        <v>20150626</v>
      </c>
      <c r="L1891" t="str">
        <f>"CSP06"</f>
        <v>CSP06</v>
      </c>
      <c r="M1891" t="str">
        <f t="shared" si="590"/>
        <v>00735</v>
      </c>
      <c r="N1891" t="s">
        <v>963</v>
      </c>
      <c r="O1891">
        <v>959</v>
      </c>
      <c r="Q1891" t="s">
        <v>33</v>
      </c>
      <c r="R1891" t="s">
        <v>34</v>
      </c>
      <c r="S1891" t="s">
        <v>35</v>
      </c>
      <c r="T1891" t="s">
        <v>35</v>
      </c>
      <c r="U1891" t="s">
        <v>34</v>
      </c>
      <c r="V1891" t="str">
        <f>""</f>
        <v/>
      </c>
      <c r="W1891">
        <v>20150626</v>
      </c>
      <c r="X1891" t="s">
        <v>964</v>
      </c>
      <c r="Y1891" t="s">
        <v>970</v>
      </c>
      <c r="Z1891" t="s">
        <v>970</v>
      </c>
      <c r="AA1891">
        <v>0</v>
      </c>
      <c r="AB1891" t="s">
        <v>142</v>
      </c>
      <c r="AC1891" t="s">
        <v>966</v>
      </c>
      <c r="AD1891" t="s">
        <v>144</v>
      </c>
      <c r="AE1891" t="str">
        <f>"06"</f>
        <v>06</v>
      </c>
      <c r="AF1891" t="s">
        <v>40</v>
      </c>
    </row>
    <row r="1892" spans="1:32" x14ac:dyDescent="0.25">
      <c r="A1892">
        <v>5</v>
      </c>
      <c r="B1892">
        <v>420</v>
      </c>
      <c r="C1892" t="str">
        <f t="shared" si="586"/>
        <v>00</v>
      </c>
      <c r="D1892">
        <v>2159</v>
      </c>
      <c r="E1892" t="str">
        <f t="shared" si="587"/>
        <v>00</v>
      </c>
      <c r="F1892" t="str">
        <f t="shared" si="588"/>
        <v>007</v>
      </c>
      <c r="G1892">
        <v>5</v>
      </c>
      <c r="H1892" t="str">
        <f t="shared" si="589"/>
        <v>00</v>
      </c>
      <c r="I1892" t="str">
        <f t="shared" si="580"/>
        <v>0</v>
      </c>
      <c r="J1892" t="str">
        <f t="shared" si="576"/>
        <v>00</v>
      </c>
      <c r="K1892">
        <v>20150723</v>
      </c>
      <c r="L1892" t="str">
        <f>"CSP07"</f>
        <v>CSP07</v>
      </c>
      <c r="M1892" t="str">
        <f t="shared" si="590"/>
        <v>00735</v>
      </c>
      <c r="N1892" t="s">
        <v>963</v>
      </c>
      <c r="O1892">
        <v>959</v>
      </c>
      <c r="Q1892" t="s">
        <v>33</v>
      </c>
      <c r="R1892" t="s">
        <v>34</v>
      </c>
      <c r="S1892" t="s">
        <v>35</v>
      </c>
      <c r="T1892" t="s">
        <v>35</v>
      </c>
      <c r="U1892" t="s">
        <v>34</v>
      </c>
      <c r="V1892" t="str">
        <f>""</f>
        <v/>
      </c>
      <c r="W1892">
        <v>20150723</v>
      </c>
      <c r="X1892" t="s">
        <v>964</v>
      </c>
      <c r="Y1892" t="s">
        <v>971</v>
      </c>
      <c r="Z1892" t="s">
        <v>971</v>
      </c>
      <c r="AA1892">
        <v>0</v>
      </c>
      <c r="AB1892" t="s">
        <v>142</v>
      </c>
      <c r="AC1892" t="s">
        <v>966</v>
      </c>
      <c r="AD1892" t="s">
        <v>144</v>
      </c>
      <c r="AE1892" t="str">
        <f>"07"</f>
        <v>07</v>
      </c>
      <c r="AF1892" t="s">
        <v>40</v>
      </c>
    </row>
    <row r="1893" spans="1:32" x14ac:dyDescent="0.25">
      <c r="A1893">
        <v>5</v>
      </c>
      <c r="B1893">
        <v>420</v>
      </c>
      <c r="C1893" t="str">
        <f t="shared" si="586"/>
        <v>00</v>
      </c>
      <c r="D1893">
        <v>2159</v>
      </c>
      <c r="E1893" t="str">
        <f t="shared" si="587"/>
        <v>00</v>
      </c>
      <c r="F1893" t="str">
        <f t="shared" si="588"/>
        <v>007</v>
      </c>
      <c r="G1893">
        <v>5</v>
      </c>
      <c r="H1893" t="str">
        <f t="shared" si="589"/>
        <v>00</v>
      </c>
      <c r="I1893" t="str">
        <f t="shared" si="580"/>
        <v>0</v>
      </c>
      <c r="J1893" t="str">
        <f t="shared" si="576"/>
        <v>00</v>
      </c>
      <c r="K1893">
        <v>20140923</v>
      </c>
      <c r="L1893" t="str">
        <f>"CSP09A"</f>
        <v>CSP09A</v>
      </c>
      <c r="M1893" t="str">
        <f t="shared" si="590"/>
        <v>00735</v>
      </c>
      <c r="N1893" t="s">
        <v>963</v>
      </c>
      <c r="O1893">
        <v>207</v>
      </c>
      <c r="Q1893" t="s">
        <v>33</v>
      </c>
      <c r="R1893" t="s">
        <v>34</v>
      </c>
      <c r="S1893" t="s">
        <v>35</v>
      </c>
      <c r="T1893" t="s">
        <v>35</v>
      </c>
      <c r="U1893" t="s">
        <v>34</v>
      </c>
      <c r="V1893" t="str">
        <f>""</f>
        <v/>
      </c>
      <c r="W1893">
        <v>20140923</v>
      </c>
      <c r="X1893" t="s">
        <v>964</v>
      </c>
      <c r="Y1893" t="s">
        <v>972</v>
      </c>
      <c r="Z1893" t="s">
        <v>972</v>
      </c>
      <c r="AA1893">
        <v>0</v>
      </c>
      <c r="AB1893" t="s">
        <v>142</v>
      </c>
      <c r="AC1893" t="s">
        <v>966</v>
      </c>
      <c r="AD1893" t="s">
        <v>144</v>
      </c>
      <c r="AE1893" t="str">
        <f>"09"</f>
        <v>09</v>
      </c>
      <c r="AF1893" t="s">
        <v>40</v>
      </c>
    </row>
    <row r="1894" spans="1:32" x14ac:dyDescent="0.25">
      <c r="A1894">
        <v>5</v>
      </c>
      <c r="B1894">
        <v>420</v>
      </c>
      <c r="C1894" t="str">
        <f t="shared" si="586"/>
        <v>00</v>
      </c>
      <c r="D1894">
        <v>2159</v>
      </c>
      <c r="E1894" t="str">
        <f t="shared" si="587"/>
        <v>00</v>
      </c>
      <c r="F1894" t="str">
        <f t="shared" si="588"/>
        <v>007</v>
      </c>
      <c r="G1894">
        <v>5</v>
      </c>
      <c r="H1894" t="str">
        <f t="shared" si="589"/>
        <v>00</v>
      </c>
      <c r="I1894" t="str">
        <f t="shared" si="580"/>
        <v>0</v>
      </c>
      <c r="J1894" t="str">
        <f t="shared" si="576"/>
        <v>00</v>
      </c>
      <c r="K1894">
        <v>20140923</v>
      </c>
      <c r="L1894" t="str">
        <f>"CSP09B"</f>
        <v>CSP09B</v>
      </c>
      <c r="M1894" t="str">
        <f t="shared" si="590"/>
        <v>00735</v>
      </c>
      <c r="N1894" t="s">
        <v>963</v>
      </c>
      <c r="O1894">
        <v>742</v>
      </c>
      <c r="Q1894" t="s">
        <v>33</v>
      </c>
      <c r="R1894" t="s">
        <v>34</v>
      </c>
      <c r="S1894" t="s">
        <v>35</v>
      </c>
      <c r="T1894" t="s">
        <v>35</v>
      </c>
      <c r="U1894" t="s">
        <v>34</v>
      </c>
      <c r="V1894" t="str">
        <f>""</f>
        <v/>
      </c>
      <c r="W1894">
        <v>20140923</v>
      </c>
      <c r="X1894" t="s">
        <v>964</v>
      </c>
      <c r="Y1894" t="s">
        <v>972</v>
      </c>
      <c r="Z1894" t="s">
        <v>972</v>
      </c>
      <c r="AA1894">
        <v>0</v>
      </c>
      <c r="AB1894" t="s">
        <v>142</v>
      </c>
      <c r="AC1894" t="s">
        <v>966</v>
      </c>
      <c r="AD1894" t="s">
        <v>144</v>
      </c>
      <c r="AE1894" t="str">
        <f>"09"</f>
        <v>09</v>
      </c>
      <c r="AF1894" t="s">
        <v>40</v>
      </c>
    </row>
    <row r="1895" spans="1:32" x14ac:dyDescent="0.25">
      <c r="A1895">
        <v>5</v>
      </c>
      <c r="B1895">
        <v>420</v>
      </c>
      <c r="C1895" t="str">
        <f t="shared" si="586"/>
        <v>00</v>
      </c>
      <c r="D1895">
        <v>2159</v>
      </c>
      <c r="E1895" t="str">
        <f t="shared" si="587"/>
        <v>00</v>
      </c>
      <c r="F1895" t="str">
        <f t="shared" si="588"/>
        <v>007</v>
      </c>
      <c r="G1895">
        <v>5</v>
      </c>
      <c r="H1895" t="str">
        <f t="shared" si="589"/>
        <v>00</v>
      </c>
      <c r="I1895" t="str">
        <f t="shared" si="580"/>
        <v>0</v>
      </c>
      <c r="J1895" t="str">
        <f t="shared" si="576"/>
        <v>00</v>
      </c>
      <c r="K1895">
        <v>20141029</v>
      </c>
      <c r="L1895" t="str">
        <f>"CSP10"</f>
        <v>CSP10</v>
      </c>
      <c r="M1895" t="str">
        <f t="shared" si="590"/>
        <v>00735</v>
      </c>
      <c r="N1895" t="s">
        <v>963</v>
      </c>
      <c r="O1895">
        <v>722</v>
      </c>
      <c r="Q1895" t="s">
        <v>33</v>
      </c>
      <c r="R1895" t="s">
        <v>34</v>
      </c>
      <c r="S1895" t="s">
        <v>35</v>
      </c>
      <c r="T1895" t="s">
        <v>35</v>
      </c>
      <c r="U1895" t="s">
        <v>34</v>
      </c>
      <c r="V1895" t="str">
        <f>""</f>
        <v/>
      </c>
      <c r="W1895">
        <v>20141029</v>
      </c>
      <c r="X1895" t="s">
        <v>964</v>
      </c>
      <c r="Y1895" t="s">
        <v>973</v>
      </c>
      <c r="Z1895" t="s">
        <v>973</v>
      </c>
      <c r="AA1895">
        <v>0</v>
      </c>
      <c r="AB1895" t="s">
        <v>142</v>
      </c>
      <c r="AC1895" t="s">
        <v>966</v>
      </c>
      <c r="AD1895" t="s">
        <v>144</v>
      </c>
      <c r="AE1895" t="str">
        <f>"10"</f>
        <v>10</v>
      </c>
      <c r="AF1895" t="s">
        <v>40</v>
      </c>
    </row>
    <row r="1896" spans="1:32" x14ac:dyDescent="0.25">
      <c r="A1896">
        <v>5</v>
      </c>
      <c r="B1896">
        <v>420</v>
      </c>
      <c r="C1896" t="str">
        <f t="shared" si="586"/>
        <v>00</v>
      </c>
      <c r="D1896">
        <v>2159</v>
      </c>
      <c r="E1896" t="str">
        <f t="shared" si="587"/>
        <v>00</v>
      </c>
      <c r="F1896" t="str">
        <f t="shared" si="588"/>
        <v>007</v>
      </c>
      <c r="G1896">
        <v>5</v>
      </c>
      <c r="H1896" t="str">
        <f t="shared" si="589"/>
        <v>00</v>
      </c>
      <c r="I1896" t="str">
        <f t="shared" si="580"/>
        <v>0</v>
      </c>
      <c r="J1896" t="str">
        <f t="shared" si="576"/>
        <v>00</v>
      </c>
      <c r="K1896">
        <v>20141201</v>
      </c>
      <c r="L1896" t="str">
        <f>"CSP11"</f>
        <v>CSP11</v>
      </c>
      <c r="M1896" t="str">
        <f t="shared" si="590"/>
        <v>00735</v>
      </c>
      <c r="N1896" t="s">
        <v>963</v>
      </c>
      <c r="O1896" s="1">
        <v>1236</v>
      </c>
      <c r="Q1896" t="s">
        <v>33</v>
      </c>
      <c r="R1896" t="s">
        <v>34</v>
      </c>
      <c r="S1896" t="s">
        <v>35</v>
      </c>
      <c r="T1896" t="s">
        <v>35</v>
      </c>
      <c r="U1896" t="s">
        <v>34</v>
      </c>
      <c r="V1896" t="str">
        <f>""</f>
        <v/>
      </c>
      <c r="W1896">
        <v>20141201</v>
      </c>
      <c r="X1896" t="s">
        <v>964</v>
      </c>
      <c r="Y1896" t="s">
        <v>974</v>
      </c>
      <c r="Z1896" t="s">
        <v>974</v>
      </c>
      <c r="AA1896">
        <v>0</v>
      </c>
      <c r="AB1896" t="s">
        <v>142</v>
      </c>
      <c r="AC1896" t="s">
        <v>966</v>
      </c>
      <c r="AD1896" t="s">
        <v>144</v>
      </c>
      <c r="AE1896" t="str">
        <f>"12"</f>
        <v>12</v>
      </c>
      <c r="AF1896" t="s">
        <v>40</v>
      </c>
    </row>
    <row r="1897" spans="1:32" x14ac:dyDescent="0.25">
      <c r="A1897">
        <v>5</v>
      </c>
      <c r="B1897">
        <v>420</v>
      </c>
      <c r="C1897" t="str">
        <f t="shared" si="586"/>
        <v>00</v>
      </c>
      <c r="D1897">
        <v>2159</v>
      </c>
      <c r="E1897" t="str">
        <f t="shared" si="587"/>
        <v>00</v>
      </c>
      <c r="F1897" t="str">
        <f t="shared" si="588"/>
        <v>007</v>
      </c>
      <c r="G1897">
        <v>5</v>
      </c>
      <c r="H1897" t="str">
        <f t="shared" si="589"/>
        <v>00</v>
      </c>
      <c r="I1897" t="str">
        <f t="shared" si="580"/>
        <v>0</v>
      </c>
      <c r="J1897" t="str">
        <f t="shared" si="576"/>
        <v>00</v>
      </c>
      <c r="K1897">
        <v>20141231</v>
      </c>
      <c r="L1897" t="str">
        <f>"CSP12"</f>
        <v>CSP12</v>
      </c>
      <c r="M1897" t="str">
        <f t="shared" si="590"/>
        <v>00735</v>
      </c>
      <c r="N1897" t="s">
        <v>963</v>
      </c>
      <c r="O1897" s="1">
        <v>1054</v>
      </c>
      <c r="Q1897" t="s">
        <v>33</v>
      </c>
      <c r="R1897" t="s">
        <v>34</v>
      </c>
      <c r="S1897" t="s">
        <v>35</v>
      </c>
      <c r="T1897" t="s">
        <v>35</v>
      </c>
      <c r="U1897" t="s">
        <v>34</v>
      </c>
      <c r="V1897" t="str">
        <f>""</f>
        <v/>
      </c>
      <c r="W1897">
        <v>20141231</v>
      </c>
      <c r="X1897" t="s">
        <v>964</v>
      </c>
      <c r="Y1897" t="s">
        <v>974</v>
      </c>
      <c r="Z1897" t="s">
        <v>974</v>
      </c>
      <c r="AA1897">
        <v>0</v>
      </c>
      <c r="AB1897" t="s">
        <v>142</v>
      </c>
      <c r="AC1897" t="s">
        <v>966</v>
      </c>
      <c r="AD1897" t="s">
        <v>144</v>
      </c>
      <c r="AE1897" t="str">
        <f>"12"</f>
        <v>12</v>
      </c>
      <c r="AF1897" t="s">
        <v>40</v>
      </c>
    </row>
    <row r="1898" spans="1:32" x14ac:dyDescent="0.25">
      <c r="A1898">
        <v>5</v>
      </c>
      <c r="B1898">
        <v>420</v>
      </c>
      <c r="C1898" t="str">
        <f t="shared" si="586"/>
        <v>00</v>
      </c>
      <c r="D1898">
        <v>2159</v>
      </c>
      <c r="E1898" t="str">
        <f t="shared" si="587"/>
        <v>00</v>
      </c>
      <c r="F1898" t="str">
        <f t="shared" si="588"/>
        <v>007</v>
      </c>
      <c r="G1898">
        <v>5</v>
      </c>
      <c r="H1898" t="str">
        <f t="shared" si="589"/>
        <v>00</v>
      </c>
      <c r="I1898" t="str">
        <f t="shared" si="580"/>
        <v>0</v>
      </c>
      <c r="J1898" t="str">
        <f t="shared" si="576"/>
        <v>00</v>
      </c>
      <c r="K1898">
        <v>20141215</v>
      </c>
      <c r="L1898" t="str">
        <f>"csp12b"</f>
        <v>csp12b</v>
      </c>
      <c r="M1898" t="str">
        <f t="shared" si="590"/>
        <v>00735</v>
      </c>
      <c r="N1898" t="s">
        <v>963</v>
      </c>
      <c r="O1898">
        <v>20</v>
      </c>
      <c r="Q1898" t="s">
        <v>33</v>
      </c>
      <c r="R1898" t="s">
        <v>34</v>
      </c>
      <c r="S1898" t="s">
        <v>35</v>
      </c>
      <c r="T1898" t="s">
        <v>35</v>
      </c>
      <c r="U1898" t="s">
        <v>34</v>
      </c>
      <c r="V1898" t="str">
        <f>""</f>
        <v/>
      </c>
      <c r="W1898">
        <v>20141215</v>
      </c>
      <c r="X1898" t="s">
        <v>964</v>
      </c>
      <c r="Y1898" t="s">
        <v>974</v>
      </c>
      <c r="Z1898" t="s">
        <v>974</v>
      </c>
      <c r="AA1898">
        <v>0</v>
      </c>
      <c r="AB1898" t="s">
        <v>142</v>
      </c>
      <c r="AC1898" t="s">
        <v>966</v>
      </c>
      <c r="AD1898" t="s">
        <v>144</v>
      </c>
      <c r="AE1898" t="str">
        <f>"12"</f>
        <v>12</v>
      </c>
      <c r="AF1898" t="s">
        <v>40</v>
      </c>
    </row>
    <row r="1899" spans="1:32" x14ac:dyDescent="0.25">
      <c r="A1899">
        <v>5</v>
      </c>
      <c r="B1899">
        <v>420</v>
      </c>
      <c r="C1899" t="str">
        <f t="shared" si="586"/>
        <v>00</v>
      </c>
      <c r="D1899">
        <v>2151</v>
      </c>
      <c r="E1899" t="str">
        <f t="shared" si="587"/>
        <v>00</v>
      </c>
      <c r="F1899" t="str">
        <f t="shared" ref="F1899:F1930" si="591">"000"</f>
        <v>000</v>
      </c>
      <c r="G1899">
        <v>5</v>
      </c>
      <c r="H1899" t="str">
        <f t="shared" si="589"/>
        <v>00</v>
      </c>
      <c r="I1899" t="str">
        <f t="shared" si="580"/>
        <v>0</v>
      </c>
      <c r="J1899" t="str">
        <f t="shared" si="576"/>
        <v>00</v>
      </c>
      <c r="K1899">
        <v>20150126</v>
      </c>
      <c r="L1899" t="str">
        <f>"IRS01"</f>
        <v>IRS01</v>
      </c>
      <c r="M1899" t="str">
        <f t="shared" ref="M1899:M1930" si="592">"00168"</f>
        <v>00168</v>
      </c>
      <c r="N1899" t="s">
        <v>975</v>
      </c>
      <c r="O1899" s="1">
        <v>14753.68</v>
      </c>
      <c r="Q1899" t="s">
        <v>33</v>
      </c>
      <c r="R1899" t="s">
        <v>34</v>
      </c>
      <c r="S1899" t="s">
        <v>35</v>
      </c>
      <c r="T1899" t="s">
        <v>35</v>
      </c>
      <c r="U1899" t="s">
        <v>34</v>
      </c>
      <c r="V1899" t="str">
        <f>""</f>
        <v/>
      </c>
      <c r="W1899">
        <v>20150126</v>
      </c>
      <c r="X1899" t="s">
        <v>976</v>
      </c>
      <c r="Y1899" t="s">
        <v>977</v>
      </c>
      <c r="Z1899" t="s">
        <v>977</v>
      </c>
      <c r="AA1899">
        <v>0</v>
      </c>
      <c r="AB1899" t="s">
        <v>142</v>
      </c>
      <c r="AC1899" t="s">
        <v>39</v>
      </c>
      <c r="AD1899" t="s">
        <v>144</v>
      </c>
      <c r="AE1899" t="str">
        <f>"01"</f>
        <v>01</v>
      </c>
      <c r="AF1899" t="s">
        <v>40</v>
      </c>
    </row>
    <row r="1900" spans="1:32" x14ac:dyDescent="0.25">
      <c r="A1900">
        <v>5</v>
      </c>
      <c r="B1900">
        <v>420</v>
      </c>
      <c r="C1900" t="str">
        <f t="shared" si="586"/>
        <v>00</v>
      </c>
      <c r="D1900">
        <v>2152</v>
      </c>
      <c r="E1900" t="str">
        <f>"01"</f>
        <v>01</v>
      </c>
      <c r="F1900" t="str">
        <f t="shared" si="591"/>
        <v>000</v>
      </c>
      <c r="G1900">
        <v>5</v>
      </c>
      <c r="H1900" t="str">
        <f t="shared" si="589"/>
        <v>00</v>
      </c>
      <c r="I1900" t="str">
        <f t="shared" si="580"/>
        <v>0</v>
      </c>
      <c r="J1900" t="str">
        <f t="shared" si="576"/>
        <v>00</v>
      </c>
      <c r="K1900">
        <v>20150126</v>
      </c>
      <c r="L1900" t="str">
        <f>"IRS01"</f>
        <v>IRS01</v>
      </c>
      <c r="M1900" t="str">
        <f t="shared" si="592"/>
        <v>00168</v>
      </c>
      <c r="N1900" t="s">
        <v>975</v>
      </c>
      <c r="O1900" s="1">
        <v>2725.77</v>
      </c>
      <c r="Q1900" t="s">
        <v>33</v>
      </c>
      <c r="R1900" t="s">
        <v>34</v>
      </c>
      <c r="S1900" t="s">
        <v>35</v>
      </c>
      <c r="T1900" t="s">
        <v>35</v>
      </c>
      <c r="U1900" t="s">
        <v>34</v>
      </c>
      <c r="V1900" t="str">
        <f>""</f>
        <v/>
      </c>
      <c r="W1900">
        <v>20150126</v>
      </c>
      <c r="X1900" t="s">
        <v>978</v>
      </c>
      <c r="Y1900" t="s">
        <v>977</v>
      </c>
      <c r="Z1900" t="s">
        <v>977</v>
      </c>
      <c r="AA1900">
        <v>0</v>
      </c>
      <c r="AB1900" t="s">
        <v>142</v>
      </c>
      <c r="AC1900" t="s">
        <v>39</v>
      </c>
      <c r="AD1900" t="s">
        <v>144</v>
      </c>
      <c r="AE1900" t="str">
        <f>"01"</f>
        <v>01</v>
      </c>
      <c r="AF1900" t="s">
        <v>40</v>
      </c>
    </row>
    <row r="1901" spans="1:32" x14ac:dyDescent="0.25">
      <c r="A1901">
        <v>5</v>
      </c>
      <c r="B1901">
        <v>420</v>
      </c>
      <c r="C1901" t="str">
        <f t="shared" si="586"/>
        <v>00</v>
      </c>
      <c r="D1901">
        <v>2152</v>
      </c>
      <c r="E1901" t="str">
        <f>"02"</f>
        <v>02</v>
      </c>
      <c r="F1901" t="str">
        <f t="shared" si="591"/>
        <v>000</v>
      </c>
      <c r="G1901">
        <v>5</v>
      </c>
      <c r="H1901" t="str">
        <f t="shared" si="589"/>
        <v>00</v>
      </c>
      <c r="I1901" t="str">
        <f t="shared" si="580"/>
        <v>0</v>
      </c>
      <c r="J1901" t="str">
        <f t="shared" si="576"/>
        <v>00</v>
      </c>
      <c r="K1901">
        <v>20150126</v>
      </c>
      <c r="L1901" t="str">
        <f>"IRS01"</f>
        <v>IRS01</v>
      </c>
      <c r="M1901" t="str">
        <f t="shared" si="592"/>
        <v>00168</v>
      </c>
      <c r="N1901" t="s">
        <v>975</v>
      </c>
      <c r="O1901" s="1">
        <v>2725.77</v>
      </c>
      <c r="Q1901" t="s">
        <v>33</v>
      </c>
      <c r="R1901" t="s">
        <v>34</v>
      </c>
      <c r="S1901" t="s">
        <v>35</v>
      </c>
      <c r="T1901" t="s">
        <v>35</v>
      </c>
      <c r="U1901" t="s">
        <v>34</v>
      </c>
      <c r="V1901" t="str">
        <f>""</f>
        <v/>
      </c>
      <c r="W1901">
        <v>20150126</v>
      </c>
      <c r="X1901" t="s">
        <v>979</v>
      </c>
      <c r="Y1901" t="s">
        <v>977</v>
      </c>
      <c r="Z1901" t="s">
        <v>977</v>
      </c>
      <c r="AA1901">
        <v>0</v>
      </c>
      <c r="AB1901" t="s">
        <v>142</v>
      </c>
      <c r="AC1901" t="s">
        <v>39</v>
      </c>
      <c r="AD1901" t="s">
        <v>144</v>
      </c>
      <c r="AE1901" t="str">
        <f>"01"</f>
        <v>01</v>
      </c>
      <c r="AF1901" t="s">
        <v>40</v>
      </c>
    </row>
    <row r="1902" spans="1:32" x14ac:dyDescent="0.25">
      <c r="A1902">
        <v>5</v>
      </c>
      <c r="B1902">
        <v>420</v>
      </c>
      <c r="C1902" t="str">
        <f t="shared" si="586"/>
        <v>00</v>
      </c>
      <c r="D1902">
        <v>2151</v>
      </c>
      <c r="E1902" t="str">
        <f>"00"</f>
        <v>00</v>
      </c>
      <c r="F1902" t="str">
        <f t="shared" si="591"/>
        <v>000</v>
      </c>
      <c r="G1902">
        <v>5</v>
      </c>
      <c r="H1902" t="str">
        <f t="shared" si="589"/>
        <v>00</v>
      </c>
      <c r="I1902" t="str">
        <f t="shared" si="580"/>
        <v>0</v>
      </c>
      <c r="J1902" t="str">
        <f t="shared" si="576"/>
        <v>00</v>
      </c>
      <c r="K1902">
        <v>20150225</v>
      </c>
      <c r="L1902" t="str">
        <f>"IRS02A"</f>
        <v>IRS02A</v>
      </c>
      <c r="M1902" t="str">
        <f t="shared" si="592"/>
        <v>00168</v>
      </c>
      <c r="N1902" t="s">
        <v>975</v>
      </c>
      <c r="O1902" s="1">
        <v>1177.32</v>
      </c>
      <c r="Q1902" t="s">
        <v>33</v>
      </c>
      <c r="R1902" t="s">
        <v>34</v>
      </c>
      <c r="S1902" t="s">
        <v>35</v>
      </c>
      <c r="T1902" t="s">
        <v>35</v>
      </c>
      <c r="U1902" t="s">
        <v>34</v>
      </c>
      <c r="V1902" t="str">
        <f>""</f>
        <v/>
      </c>
      <c r="W1902">
        <v>20150225</v>
      </c>
      <c r="X1902" t="s">
        <v>976</v>
      </c>
      <c r="Y1902" t="s">
        <v>980</v>
      </c>
      <c r="Z1902" t="s">
        <v>980</v>
      </c>
      <c r="AA1902">
        <v>0</v>
      </c>
      <c r="AB1902" t="s">
        <v>142</v>
      </c>
      <c r="AC1902" t="s">
        <v>39</v>
      </c>
      <c r="AD1902" t="s">
        <v>144</v>
      </c>
      <c r="AE1902" t="str">
        <f t="shared" ref="AE1902:AE1907" si="593">"02"</f>
        <v>02</v>
      </c>
      <c r="AF1902" t="s">
        <v>40</v>
      </c>
    </row>
    <row r="1903" spans="1:32" x14ac:dyDescent="0.25">
      <c r="A1903">
        <v>5</v>
      </c>
      <c r="B1903">
        <v>420</v>
      </c>
      <c r="C1903" t="str">
        <f t="shared" si="586"/>
        <v>00</v>
      </c>
      <c r="D1903">
        <v>2152</v>
      </c>
      <c r="E1903" t="str">
        <f>"01"</f>
        <v>01</v>
      </c>
      <c r="F1903" t="str">
        <f t="shared" si="591"/>
        <v>000</v>
      </c>
      <c r="G1903">
        <v>5</v>
      </c>
      <c r="H1903" t="str">
        <f t="shared" si="589"/>
        <v>00</v>
      </c>
      <c r="I1903" t="str">
        <f t="shared" si="580"/>
        <v>0</v>
      </c>
      <c r="J1903" t="str">
        <f t="shared" si="576"/>
        <v>00</v>
      </c>
      <c r="K1903">
        <v>20150225</v>
      </c>
      <c r="L1903" t="str">
        <f>"IRS02A"</f>
        <v>IRS02A</v>
      </c>
      <c r="M1903" t="str">
        <f t="shared" si="592"/>
        <v>00168</v>
      </c>
      <c r="N1903" t="s">
        <v>975</v>
      </c>
      <c r="O1903">
        <v>136.66999999999999</v>
      </c>
      <c r="Q1903" t="s">
        <v>33</v>
      </c>
      <c r="R1903" t="s">
        <v>34</v>
      </c>
      <c r="S1903" t="s">
        <v>35</v>
      </c>
      <c r="T1903" t="s">
        <v>35</v>
      </c>
      <c r="U1903" t="s">
        <v>34</v>
      </c>
      <c r="V1903" t="str">
        <f>""</f>
        <v/>
      </c>
      <c r="W1903">
        <v>20150225</v>
      </c>
      <c r="X1903" t="s">
        <v>978</v>
      </c>
      <c r="Y1903" t="s">
        <v>980</v>
      </c>
      <c r="Z1903" t="s">
        <v>980</v>
      </c>
      <c r="AA1903">
        <v>0</v>
      </c>
      <c r="AB1903" t="s">
        <v>142</v>
      </c>
      <c r="AC1903" t="s">
        <v>39</v>
      </c>
      <c r="AD1903" t="s">
        <v>144</v>
      </c>
      <c r="AE1903" t="str">
        <f t="shared" si="593"/>
        <v>02</v>
      </c>
      <c r="AF1903" t="s">
        <v>40</v>
      </c>
    </row>
    <row r="1904" spans="1:32" x14ac:dyDescent="0.25">
      <c r="A1904">
        <v>5</v>
      </c>
      <c r="B1904">
        <v>420</v>
      </c>
      <c r="C1904" t="str">
        <f t="shared" si="586"/>
        <v>00</v>
      </c>
      <c r="D1904">
        <v>2152</v>
      </c>
      <c r="E1904" t="str">
        <f>"02"</f>
        <v>02</v>
      </c>
      <c r="F1904" t="str">
        <f t="shared" si="591"/>
        <v>000</v>
      </c>
      <c r="G1904">
        <v>5</v>
      </c>
      <c r="H1904" t="str">
        <f t="shared" si="589"/>
        <v>00</v>
      </c>
      <c r="I1904" t="str">
        <f t="shared" si="580"/>
        <v>0</v>
      </c>
      <c r="J1904" t="str">
        <f t="shared" si="576"/>
        <v>00</v>
      </c>
      <c r="K1904">
        <v>20150225</v>
      </c>
      <c r="L1904" t="str">
        <f>"IRS02A"</f>
        <v>IRS02A</v>
      </c>
      <c r="M1904" t="str">
        <f t="shared" si="592"/>
        <v>00168</v>
      </c>
      <c r="N1904" t="s">
        <v>975</v>
      </c>
      <c r="O1904">
        <v>136.66999999999999</v>
      </c>
      <c r="Q1904" t="s">
        <v>33</v>
      </c>
      <c r="R1904" t="s">
        <v>34</v>
      </c>
      <c r="S1904" t="s">
        <v>35</v>
      </c>
      <c r="T1904" t="s">
        <v>35</v>
      </c>
      <c r="U1904" t="s">
        <v>34</v>
      </c>
      <c r="V1904" t="str">
        <f>""</f>
        <v/>
      </c>
      <c r="W1904">
        <v>20150225</v>
      </c>
      <c r="X1904" t="s">
        <v>979</v>
      </c>
      <c r="Y1904" t="s">
        <v>980</v>
      </c>
      <c r="Z1904" t="s">
        <v>980</v>
      </c>
      <c r="AA1904">
        <v>0</v>
      </c>
      <c r="AB1904" t="s">
        <v>142</v>
      </c>
      <c r="AC1904" t="s">
        <v>39</v>
      </c>
      <c r="AD1904" t="s">
        <v>144</v>
      </c>
      <c r="AE1904" t="str">
        <f t="shared" si="593"/>
        <v>02</v>
      </c>
      <c r="AF1904" t="s">
        <v>40</v>
      </c>
    </row>
    <row r="1905" spans="1:32" x14ac:dyDescent="0.25">
      <c r="A1905">
        <v>5</v>
      </c>
      <c r="B1905">
        <v>420</v>
      </c>
      <c r="C1905" t="str">
        <f t="shared" si="586"/>
        <v>00</v>
      </c>
      <c r="D1905">
        <v>2151</v>
      </c>
      <c r="E1905" t="str">
        <f>"00"</f>
        <v>00</v>
      </c>
      <c r="F1905" t="str">
        <f t="shared" si="591"/>
        <v>000</v>
      </c>
      <c r="G1905">
        <v>5</v>
      </c>
      <c r="H1905" t="str">
        <f t="shared" si="589"/>
        <v>00</v>
      </c>
      <c r="I1905" t="str">
        <f t="shared" si="580"/>
        <v>0</v>
      </c>
      <c r="J1905" t="str">
        <f t="shared" si="576"/>
        <v>00</v>
      </c>
      <c r="K1905">
        <v>20150225</v>
      </c>
      <c r="L1905" t="str">
        <f>"IRS02B"</f>
        <v>IRS02B</v>
      </c>
      <c r="M1905" t="str">
        <f t="shared" si="592"/>
        <v>00168</v>
      </c>
      <c r="N1905" t="s">
        <v>975</v>
      </c>
      <c r="O1905" s="1">
        <v>16822.95</v>
      </c>
      <c r="Q1905" t="s">
        <v>33</v>
      </c>
      <c r="R1905" t="s">
        <v>34</v>
      </c>
      <c r="S1905" t="s">
        <v>35</v>
      </c>
      <c r="T1905" t="s">
        <v>35</v>
      </c>
      <c r="U1905" t="s">
        <v>34</v>
      </c>
      <c r="V1905" t="str">
        <f>""</f>
        <v/>
      </c>
      <c r="W1905">
        <v>20150225</v>
      </c>
      <c r="X1905" t="s">
        <v>976</v>
      </c>
      <c r="Y1905" t="s">
        <v>980</v>
      </c>
      <c r="Z1905" t="s">
        <v>980</v>
      </c>
      <c r="AA1905">
        <v>0</v>
      </c>
      <c r="AB1905" t="s">
        <v>142</v>
      </c>
      <c r="AC1905" t="s">
        <v>39</v>
      </c>
      <c r="AD1905" t="s">
        <v>144</v>
      </c>
      <c r="AE1905" t="str">
        <f t="shared" si="593"/>
        <v>02</v>
      </c>
      <c r="AF1905" t="s">
        <v>40</v>
      </c>
    </row>
    <row r="1906" spans="1:32" x14ac:dyDescent="0.25">
      <c r="A1906">
        <v>5</v>
      </c>
      <c r="B1906">
        <v>420</v>
      </c>
      <c r="C1906" t="str">
        <f t="shared" si="586"/>
        <v>00</v>
      </c>
      <c r="D1906">
        <v>2152</v>
      </c>
      <c r="E1906" t="str">
        <f>"01"</f>
        <v>01</v>
      </c>
      <c r="F1906" t="str">
        <f t="shared" si="591"/>
        <v>000</v>
      </c>
      <c r="G1906">
        <v>5</v>
      </c>
      <c r="H1906" t="str">
        <f t="shared" si="589"/>
        <v>00</v>
      </c>
      <c r="I1906" t="str">
        <f t="shared" si="580"/>
        <v>0</v>
      </c>
      <c r="J1906" t="str">
        <f t="shared" si="576"/>
        <v>00</v>
      </c>
      <c r="K1906">
        <v>20150225</v>
      </c>
      <c r="L1906" t="str">
        <f>"IRS02B"</f>
        <v>IRS02B</v>
      </c>
      <c r="M1906" t="str">
        <f t="shared" si="592"/>
        <v>00168</v>
      </c>
      <c r="N1906" t="s">
        <v>975</v>
      </c>
      <c r="O1906" s="1">
        <v>3559.45</v>
      </c>
      <c r="Q1906" t="s">
        <v>33</v>
      </c>
      <c r="R1906" t="s">
        <v>34</v>
      </c>
      <c r="S1906" t="s">
        <v>35</v>
      </c>
      <c r="T1906" t="s">
        <v>35</v>
      </c>
      <c r="U1906" t="s">
        <v>34</v>
      </c>
      <c r="V1906" t="str">
        <f>""</f>
        <v/>
      </c>
      <c r="W1906">
        <v>20150225</v>
      </c>
      <c r="X1906" t="s">
        <v>978</v>
      </c>
      <c r="Y1906" t="s">
        <v>980</v>
      </c>
      <c r="Z1906" t="s">
        <v>980</v>
      </c>
      <c r="AA1906">
        <v>0</v>
      </c>
      <c r="AB1906" t="s">
        <v>142</v>
      </c>
      <c r="AC1906" t="s">
        <v>39</v>
      </c>
      <c r="AD1906" t="s">
        <v>144</v>
      </c>
      <c r="AE1906" t="str">
        <f t="shared" si="593"/>
        <v>02</v>
      </c>
      <c r="AF1906" t="s">
        <v>40</v>
      </c>
    </row>
    <row r="1907" spans="1:32" x14ac:dyDescent="0.25">
      <c r="A1907">
        <v>5</v>
      </c>
      <c r="B1907">
        <v>420</v>
      </c>
      <c r="C1907" t="str">
        <f t="shared" si="586"/>
        <v>00</v>
      </c>
      <c r="D1907">
        <v>2152</v>
      </c>
      <c r="E1907" t="str">
        <f>"02"</f>
        <v>02</v>
      </c>
      <c r="F1907" t="str">
        <f t="shared" si="591"/>
        <v>000</v>
      </c>
      <c r="G1907">
        <v>5</v>
      </c>
      <c r="H1907" t="str">
        <f t="shared" si="589"/>
        <v>00</v>
      </c>
      <c r="I1907" t="str">
        <f t="shared" si="580"/>
        <v>0</v>
      </c>
      <c r="J1907" t="str">
        <f t="shared" ref="J1907:J1970" si="594">"00"</f>
        <v>00</v>
      </c>
      <c r="K1907">
        <v>20150225</v>
      </c>
      <c r="L1907" t="str">
        <f>"IRS02B"</f>
        <v>IRS02B</v>
      </c>
      <c r="M1907" t="str">
        <f t="shared" si="592"/>
        <v>00168</v>
      </c>
      <c r="N1907" t="s">
        <v>975</v>
      </c>
      <c r="O1907" s="1">
        <v>3559.45</v>
      </c>
      <c r="Q1907" t="s">
        <v>33</v>
      </c>
      <c r="R1907" t="s">
        <v>34</v>
      </c>
      <c r="S1907" t="s">
        <v>35</v>
      </c>
      <c r="T1907" t="s">
        <v>35</v>
      </c>
      <c r="U1907" t="s">
        <v>34</v>
      </c>
      <c r="V1907" t="str">
        <f>""</f>
        <v/>
      </c>
      <c r="W1907">
        <v>20150225</v>
      </c>
      <c r="X1907" t="s">
        <v>979</v>
      </c>
      <c r="Y1907" t="s">
        <v>980</v>
      </c>
      <c r="Z1907" t="s">
        <v>980</v>
      </c>
      <c r="AA1907">
        <v>0</v>
      </c>
      <c r="AB1907" t="s">
        <v>142</v>
      </c>
      <c r="AC1907" t="s">
        <v>39</v>
      </c>
      <c r="AD1907" t="s">
        <v>144</v>
      </c>
      <c r="AE1907" t="str">
        <f t="shared" si="593"/>
        <v>02</v>
      </c>
      <c r="AF1907" t="s">
        <v>40</v>
      </c>
    </row>
    <row r="1908" spans="1:32" x14ac:dyDescent="0.25">
      <c r="A1908">
        <v>5</v>
      </c>
      <c r="B1908">
        <v>420</v>
      </c>
      <c r="C1908" t="str">
        <f t="shared" si="586"/>
        <v>00</v>
      </c>
      <c r="D1908">
        <v>2151</v>
      </c>
      <c r="E1908" t="str">
        <f>"00"</f>
        <v>00</v>
      </c>
      <c r="F1908" t="str">
        <f t="shared" si="591"/>
        <v>000</v>
      </c>
      <c r="G1908">
        <v>5</v>
      </c>
      <c r="H1908" t="str">
        <f t="shared" si="589"/>
        <v>00</v>
      </c>
      <c r="I1908" t="str">
        <f t="shared" si="580"/>
        <v>0</v>
      </c>
      <c r="J1908" t="str">
        <f t="shared" si="594"/>
        <v>00</v>
      </c>
      <c r="K1908">
        <v>20150330</v>
      </c>
      <c r="L1908" t="str">
        <f>"IRS03"</f>
        <v>IRS03</v>
      </c>
      <c r="M1908" t="str">
        <f t="shared" si="592"/>
        <v>00168</v>
      </c>
      <c r="N1908" t="s">
        <v>975</v>
      </c>
      <c r="O1908" s="1">
        <v>14900.05</v>
      </c>
      <c r="Q1908" t="s">
        <v>33</v>
      </c>
      <c r="R1908" t="s">
        <v>34</v>
      </c>
      <c r="S1908" t="s">
        <v>35</v>
      </c>
      <c r="T1908" t="s">
        <v>35</v>
      </c>
      <c r="U1908" t="s">
        <v>34</v>
      </c>
      <c r="V1908" t="str">
        <f>""</f>
        <v/>
      </c>
      <c r="W1908">
        <v>20150330</v>
      </c>
      <c r="X1908" t="s">
        <v>976</v>
      </c>
      <c r="Y1908" t="s">
        <v>981</v>
      </c>
      <c r="Z1908" t="s">
        <v>981</v>
      </c>
      <c r="AA1908">
        <v>0</v>
      </c>
      <c r="AB1908" t="s">
        <v>142</v>
      </c>
      <c r="AC1908" t="s">
        <v>39</v>
      </c>
      <c r="AD1908" t="s">
        <v>144</v>
      </c>
      <c r="AE1908" t="str">
        <f>"03"</f>
        <v>03</v>
      </c>
      <c r="AF1908" t="s">
        <v>40</v>
      </c>
    </row>
    <row r="1909" spans="1:32" x14ac:dyDescent="0.25">
      <c r="A1909">
        <v>5</v>
      </c>
      <c r="B1909">
        <v>420</v>
      </c>
      <c r="C1909" t="str">
        <f t="shared" si="586"/>
        <v>00</v>
      </c>
      <c r="D1909">
        <v>2152</v>
      </c>
      <c r="E1909" t="str">
        <f>"01"</f>
        <v>01</v>
      </c>
      <c r="F1909" t="str">
        <f t="shared" si="591"/>
        <v>000</v>
      </c>
      <c r="G1909">
        <v>5</v>
      </c>
      <c r="H1909" t="str">
        <f t="shared" si="589"/>
        <v>00</v>
      </c>
      <c r="I1909" t="str">
        <f t="shared" si="580"/>
        <v>0</v>
      </c>
      <c r="J1909" t="str">
        <f t="shared" si="594"/>
        <v>00</v>
      </c>
      <c r="K1909">
        <v>20150330</v>
      </c>
      <c r="L1909" t="str">
        <f>"IRS03"</f>
        <v>IRS03</v>
      </c>
      <c r="M1909" t="str">
        <f t="shared" si="592"/>
        <v>00168</v>
      </c>
      <c r="N1909" t="s">
        <v>975</v>
      </c>
      <c r="O1909" s="1">
        <v>3050.8</v>
      </c>
      <c r="Q1909" t="s">
        <v>33</v>
      </c>
      <c r="R1909" t="s">
        <v>34</v>
      </c>
      <c r="S1909" t="s">
        <v>35</v>
      </c>
      <c r="T1909" t="s">
        <v>35</v>
      </c>
      <c r="U1909" t="s">
        <v>34</v>
      </c>
      <c r="V1909" t="str">
        <f>""</f>
        <v/>
      </c>
      <c r="W1909">
        <v>20150330</v>
      </c>
      <c r="X1909" t="s">
        <v>978</v>
      </c>
      <c r="Y1909" t="s">
        <v>981</v>
      </c>
      <c r="Z1909" t="s">
        <v>981</v>
      </c>
      <c r="AA1909">
        <v>0</v>
      </c>
      <c r="AB1909" t="s">
        <v>142</v>
      </c>
      <c r="AC1909" t="s">
        <v>39</v>
      </c>
      <c r="AD1909" t="s">
        <v>144</v>
      </c>
      <c r="AE1909" t="str">
        <f>"03"</f>
        <v>03</v>
      </c>
      <c r="AF1909" t="s">
        <v>40</v>
      </c>
    </row>
    <row r="1910" spans="1:32" x14ac:dyDescent="0.25">
      <c r="A1910">
        <v>5</v>
      </c>
      <c r="B1910">
        <v>420</v>
      </c>
      <c r="C1910" t="str">
        <f t="shared" si="586"/>
        <v>00</v>
      </c>
      <c r="D1910">
        <v>2152</v>
      </c>
      <c r="E1910" t="str">
        <f>"02"</f>
        <v>02</v>
      </c>
      <c r="F1910" t="str">
        <f t="shared" si="591"/>
        <v>000</v>
      </c>
      <c r="G1910">
        <v>5</v>
      </c>
      <c r="H1910" t="str">
        <f t="shared" si="589"/>
        <v>00</v>
      </c>
      <c r="I1910" t="str">
        <f t="shared" si="580"/>
        <v>0</v>
      </c>
      <c r="J1910" t="str">
        <f t="shared" si="594"/>
        <v>00</v>
      </c>
      <c r="K1910">
        <v>20150330</v>
      </c>
      <c r="L1910" t="str">
        <f>"IRS03"</f>
        <v>IRS03</v>
      </c>
      <c r="M1910" t="str">
        <f t="shared" si="592"/>
        <v>00168</v>
      </c>
      <c r="N1910" t="s">
        <v>975</v>
      </c>
      <c r="O1910" s="1">
        <v>3050.8</v>
      </c>
      <c r="Q1910" t="s">
        <v>33</v>
      </c>
      <c r="R1910" t="s">
        <v>34</v>
      </c>
      <c r="S1910" t="s">
        <v>35</v>
      </c>
      <c r="T1910" t="s">
        <v>35</v>
      </c>
      <c r="U1910" t="s">
        <v>34</v>
      </c>
      <c r="V1910" t="str">
        <f>""</f>
        <v/>
      </c>
      <c r="W1910">
        <v>20150330</v>
      </c>
      <c r="X1910" t="s">
        <v>979</v>
      </c>
      <c r="Y1910" t="s">
        <v>981</v>
      </c>
      <c r="Z1910" t="s">
        <v>981</v>
      </c>
      <c r="AA1910">
        <v>0</v>
      </c>
      <c r="AB1910" t="s">
        <v>142</v>
      </c>
      <c r="AC1910" t="s">
        <v>39</v>
      </c>
      <c r="AD1910" t="s">
        <v>144</v>
      </c>
      <c r="AE1910" t="str">
        <f>"03"</f>
        <v>03</v>
      </c>
      <c r="AF1910" t="s">
        <v>40</v>
      </c>
    </row>
    <row r="1911" spans="1:32" x14ac:dyDescent="0.25">
      <c r="A1911">
        <v>5</v>
      </c>
      <c r="B1911">
        <v>420</v>
      </c>
      <c r="C1911" t="str">
        <f t="shared" si="586"/>
        <v>00</v>
      </c>
      <c r="D1911">
        <v>2151</v>
      </c>
      <c r="E1911" t="str">
        <f>"00"</f>
        <v>00</v>
      </c>
      <c r="F1911" t="str">
        <f t="shared" si="591"/>
        <v>000</v>
      </c>
      <c r="G1911">
        <v>5</v>
      </c>
      <c r="H1911" t="str">
        <f t="shared" si="589"/>
        <v>00</v>
      </c>
      <c r="I1911" t="str">
        <f t="shared" si="580"/>
        <v>0</v>
      </c>
      <c r="J1911" t="str">
        <f t="shared" si="594"/>
        <v>00</v>
      </c>
      <c r="K1911">
        <v>20150429</v>
      </c>
      <c r="L1911" t="str">
        <f>"IRS04A"</f>
        <v>IRS04A</v>
      </c>
      <c r="M1911" t="str">
        <f t="shared" si="592"/>
        <v>00168</v>
      </c>
      <c r="N1911" t="s">
        <v>975</v>
      </c>
      <c r="O1911" s="1">
        <v>15494.65</v>
      </c>
      <c r="Q1911" t="s">
        <v>33</v>
      </c>
      <c r="R1911" t="s">
        <v>34</v>
      </c>
      <c r="S1911" t="s">
        <v>35</v>
      </c>
      <c r="T1911" t="s">
        <v>35</v>
      </c>
      <c r="U1911" t="s">
        <v>34</v>
      </c>
      <c r="V1911" t="str">
        <f>""</f>
        <v/>
      </c>
      <c r="W1911">
        <v>20150429</v>
      </c>
      <c r="X1911" t="s">
        <v>976</v>
      </c>
      <c r="Y1911" t="s">
        <v>982</v>
      </c>
      <c r="Z1911" t="s">
        <v>982</v>
      </c>
      <c r="AA1911">
        <v>0</v>
      </c>
      <c r="AB1911" t="s">
        <v>142</v>
      </c>
      <c r="AC1911" t="s">
        <v>39</v>
      </c>
      <c r="AD1911" t="s">
        <v>144</v>
      </c>
      <c r="AE1911" t="str">
        <f>"04"</f>
        <v>04</v>
      </c>
      <c r="AF1911" t="s">
        <v>40</v>
      </c>
    </row>
    <row r="1912" spans="1:32" x14ac:dyDescent="0.25">
      <c r="A1912">
        <v>5</v>
      </c>
      <c r="B1912">
        <v>420</v>
      </c>
      <c r="C1912" t="str">
        <f t="shared" si="586"/>
        <v>00</v>
      </c>
      <c r="D1912">
        <v>2152</v>
      </c>
      <c r="E1912" t="str">
        <f>"01"</f>
        <v>01</v>
      </c>
      <c r="F1912" t="str">
        <f t="shared" si="591"/>
        <v>000</v>
      </c>
      <c r="G1912">
        <v>5</v>
      </c>
      <c r="H1912" t="str">
        <f t="shared" si="589"/>
        <v>00</v>
      </c>
      <c r="I1912" t="str">
        <f t="shared" si="580"/>
        <v>0</v>
      </c>
      <c r="J1912" t="str">
        <f t="shared" si="594"/>
        <v>00</v>
      </c>
      <c r="K1912">
        <v>20150429</v>
      </c>
      <c r="L1912" t="str">
        <f>"IRS04A"</f>
        <v>IRS04A</v>
      </c>
      <c r="M1912" t="str">
        <f t="shared" si="592"/>
        <v>00168</v>
      </c>
      <c r="N1912" t="s">
        <v>975</v>
      </c>
      <c r="O1912" s="1">
        <v>3491.84</v>
      </c>
      <c r="Q1912" t="s">
        <v>33</v>
      </c>
      <c r="R1912" t="s">
        <v>34</v>
      </c>
      <c r="S1912" t="s">
        <v>35</v>
      </c>
      <c r="T1912" t="s">
        <v>35</v>
      </c>
      <c r="U1912" t="s">
        <v>34</v>
      </c>
      <c r="V1912" t="str">
        <f>""</f>
        <v/>
      </c>
      <c r="W1912">
        <v>20150429</v>
      </c>
      <c r="X1912" t="s">
        <v>978</v>
      </c>
      <c r="Y1912" t="s">
        <v>982</v>
      </c>
      <c r="Z1912" t="s">
        <v>982</v>
      </c>
      <c r="AA1912">
        <v>0</v>
      </c>
      <c r="AB1912" t="s">
        <v>142</v>
      </c>
      <c r="AC1912" t="s">
        <v>39</v>
      </c>
      <c r="AD1912" t="s">
        <v>144</v>
      </c>
      <c r="AE1912" t="str">
        <f>"04"</f>
        <v>04</v>
      </c>
      <c r="AF1912" t="s">
        <v>40</v>
      </c>
    </row>
    <row r="1913" spans="1:32" x14ac:dyDescent="0.25">
      <c r="A1913">
        <v>5</v>
      </c>
      <c r="B1913">
        <v>420</v>
      </c>
      <c r="C1913" t="str">
        <f t="shared" si="586"/>
        <v>00</v>
      </c>
      <c r="D1913">
        <v>2152</v>
      </c>
      <c r="E1913" t="str">
        <f>"02"</f>
        <v>02</v>
      </c>
      <c r="F1913" t="str">
        <f t="shared" si="591"/>
        <v>000</v>
      </c>
      <c r="G1913">
        <v>5</v>
      </c>
      <c r="H1913" t="str">
        <f t="shared" si="589"/>
        <v>00</v>
      </c>
      <c r="I1913" t="str">
        <f t="shared" si="580"/>
        <v>0</v>
      </c>
      <c r="J1913" t="str">
        <f t="shared" si="594"/>
        <v>00</v>
      </c>
      <c r="K1913">
        <v>20150429</v>
      </c>
      <c r="L1913" t="str">
        <f>"IRS04A"</f>
        <v>IRS04A</v>
      </c>
      <c r="M1913" t="str">
        <f t="shared" si="592"/>
        <v>00168</v>
      </c>
      <c r="N1913" t="s">
        <v>975</v>
      </c>
      <c r="O1913" s="1">
        <v>3491.84</v>
      </c>
      <c r="Q1913" t="s">
        <v>33</v>
      </c>
      <c r="R1913" t="s">
        <v>34</v>
      </c>
      <c r="S1913" t="s">
        <v>35</v>
      </c>
      <c r="T1913" t="s">
        <v>35</v>
      </c>
      <c r="U1913" t="s">
        <v>34</v>
      </c>
      <c r="V1913" t="str">
        <f>""</f>
        <v/>
      </c>
      <c r="W1913">
        <v>20150429</v>
      </c>
      <c r="X1913" t="s">
        <v>979</v>
      </c>
      <c r="Y1913" t="s">
        <v>982</v>
      </c>
      <c r="Z1913" t="s">
        <v>982</v>
      </c>
      <c r="AA1913">
        <v>0</v>
      </c>
      <c r="AB1913" t="s">
        <v>142</v>
      </c>
      <c r="AC1913" t="s">
        <v>39</v>
      </c>
      <c r="AD1913" t="s">
        <v>144</v>
      </c>
      <c r="AE1913" t="str">
        <f>"04"</f>
        <v>04</v>
      </c>
      <c r="AF1913" t="s">
        <v>40</v>
      </c>
    </row>
    <row r="1914" spans="1:32" x14ac:dyDescent="0.25">
      <c r="A1914">
        <v>5</v>
      </c>
      <c r="B1914">
        <v>420</v>
      </c>
      <c r="C1914" t="str">
        <f t="shared" si="586"/>
        <v>00</v>
      </c>
      <c r="D1914">
        <v>2151</v>
      </c>
      <c r="E1914" t="str">
        <f>"00"</f>
        <v>00</v>
      </c>
      <c r="F1914" t="str">
        <f t="shared" si="591"/>
        <v>000</v>
      </c>
      <c r="G1914">
        <v>5</v>
      </c>
      <c r="H1914" t="str">
        <f t="shared" si="589"/>
        <v>00</v>
      </c>
      <c r="I1914" t="str">
        <f t="shared" si="580"/>
        <v>0</v>
      </c>
      <c r="J1914" t="str">
        <f t="shared" si="594"/>
        <v>00</v>
      </c>
      <c r="K1914">
        <v>20150527</v>
      </c>
      <c r="L1914" t="str">
        <f>"IRS05A"</f>
        <v>IRS05A</v>
      </c>
      <c r="M1914" t="str">
        <f t="shared" si="592"/>
        <v>00168</v>
      </c>
      <c r="N1914" t="s">
        <v>975</v>
      </c>
      <c r="O1914">
        <v>158.88999999999999</v>
      </c>
      <c r="Q1914" t="s">
        <v>33</v>
      </c>
      <c r="R1914" t="s">
        <v>34</v>
      </c>
      <c r="S1914" t="s">
        <v>35</v>
      </c>
      <c r="T1914" t="s">
        <v>35</v>
      </c>
      <c r="U1914" t="s">
        <v>34</v>
      </c>
      <c r="V1914" t="str">
        <f>""</f>
        <v/>
      </c>
      <c r="W1914">
        <v>20150527</v>
      </c>
      <c r="X1914" t="s">
        <v>976</v>
      </c>
      <c r="Y1914" t="s">
        <v>983</v>
      </c>
      <c r="Z1914" t="s">
        <v>983</v>
      </c>
      <c r="AA1914">
        <v>0</v>
      </c>
      <c r="AB1914" t="s">
        <v>142</v>
      </c>
      <c r="AC1914" t="s">
        <v>39</v>
      </c>
      <c r="AD1914" t="s">
        <v>144</v>
      </c>
      <c r="AE1914" t="str">
        <f t="shared" ref="AE1914:AE1922" si="595">"05"</f>
        <v>05</v>
      </c>
      <c r="AF1914" t="s">
        <v>40</v>
      </c>
    </row>
    <row r="1915" spans="1:32" x14ac:dyDescent="0.25">
      <c r="A1915">
        <v>5</v>
      </c>
      <c r="B1915">
        <v>420</v>
      </c>
      <c r="C1915" t="str">
        <f t="shared" si="586"/>
        <v>00</v>
      </c>
      <c r="D1915">
        <v>2152</v>
      </c>
      <c r="E1915" t="str">
        <f>"01"</f>
        <v>01</v>
      </c>
      <c r="F1915" t="str">
        <f t="shared" si="591"/>
        <v>000</v>
      </c>
      <c r="G1915">
        <v>5</v>
      </c>
      <c r="H1915" t="str">
        <f t="shared" si="589"/>
        <v>00</v>
      </c>
      <c r="I1915" t="str">
        <f t="shared" si="580"/>
        <v>0</v>
      </c>
      <c r="J1915" t="str">
        <f t="shared" si="594"/>
        <v>00</v>
      </c>
      <c r="K1915">
        <v>20150527</v>
      </c>
      <c r="L1915" t="str">
        <f>"IRS05A"</f>
        <v>IRS05A</v>
      </c>
      <c r="M1915" t="str">
        <f t="shared" si="592"/>
        <v>00168</v>
      </c>
      <c r="N1915" t="s">
        <v>975</v>
      </c>
      <c r="O1915">
        <v>45.93</v>
      </c>
      <c r="Q1915" t="s">
        <v>33</v>
      </c>
      <c r="R1915" t="s">
        <v>34</v>
      </c>
      <c r="S1915" t="s">
        <v>35</v>
      </c>
      <c r="T1915" t="s">
        <v>35</v>
      </c>
      <c r="U1915" t="s">
        <v>34</v>
      </c>
      <c r="V1915" t="str">
        <f>""</f>
        <v/>
      </c>
      <c r="W1915">
        <v>20150527</v>
      </c>
      <c r="X1915" t="s">
        <v>978</v>
      </c>
      <c r="Y1915" t="s">
        <v>983</v>
      </c>
      <c r="Z1915" t="s">
        <v>983</v>
      </c>
      <c r="AA1915">
        <v>0</v>
      </c>
      <c r="AB1915" t="s">
        <v>142</v>
      </c>
      <c r="AC1915" t="s">
        <v>39</v>
      </c>
      <c r="AD1915" t="s">
        <v>144</v>
      </c>
      <c r="AE1915" t="str">
        <f t="shared" si="595"/>
        <v>05</v>
      </c>
      <c r="AF1915" t="s">
        <v>40</v>
      </c>
    </row>
    <row r="1916" spans="1:32" x14ac:dyDescent="0.25">
      <c r="A1916">
        <v>5</v>
      </c>
      <c r="B1916">
        <v>420</v>
      </c>
      <c r="C1916" t="str">
        <f t="shared" si="586"/>
        <v>00</v>
      </c>
      <c r="D1916">
        <v>2152</v>
      </c>
      <c r="E1916" t="str">
        <f>"02"</f>
        <v>02</v>
      </c>
      <c r="F1916" t="str">
        <f t="shared" si="591"/>
        <v>000</v>
      </c>
      <c r="G1916">
        <v>5</v>
      </c>
      <c r="H1916" t="str">
        <f t="shared" si="589"/>
        <v>00</v>
      </c>
      <c r="I1916" t="str">
        <f t="shared" si="580"/>
        <v>0</v>
      </c>
      <c r="J1916" t="str">
        <f t="shared" si="594"/>
        <v>00</v>
      </c>
      <c r="K1916">
        <v>20150527</v>
      </c>
      <c r="L1916" t="str">
        <f>"IRS05A"</f>
        <v>IRS05A</v>
      </c>
      <c r="M1916" t="str">
        <f t="shared" si="592"/>
        <v>00168</v>
      </c>
      <c r="N1916" t="s">
        <v>975</v>
      </c>
      <c r="O1916">
        <v>45.93</v>
      </c>
      <c r="Q1916" t="s">
        <v>33</v>
      </c>
      <c r="R1916" t="s">
        <v>34</v>
      </c>
      <c r="S1916" t="s">
        <v>35</v>
      </c>
      <c r="T1916" t="s">
        <v>35</v>
      </c>
      <c r="U1916" t="s">
        <v>34</v>
      </c>
      <c r="V1916" t="str">
        <f>""</f>
        <v/>
      </c>
      <c r="W1916">
        <v>20150527</v>
      </c>
      <c r="X1916" t="s">
        <v>979</v>
      </c>
      <c r="Y1916" t="s">
        <v>983</v>
      </c>
      <c r="Z1916" t="s">
        <v>983</v>
      </c>
      <c r="AA1916">
        <v>0</v>
      </c>
      <c r="AB1916" t="s">
        <v>142</v>
      </c>
      <c r="AC1916" t="s">
        <v>39</v>
      </c>
      <c r="AD1916" t="s">
        <v>144</v>
      </c>
      <c r="AE1916" t="str">
        <f t="shared" si="595"/>
        <v>05</v>
      </c>
      <c r="AF1916" t="s">
        <v>40</v>
      </c>
    </row>
    <row r="1917" spans="1:32" x14ac:dyDescent="0.25">
      <c r="A1917">
        <v>5</v>
      </c>
      <c r="B1917">
        <v>420</v>
      </c>
      <c r="C1917" t="str">
        <f t="shared" si="586"/>
        <v>00</v>
      </c>
      <c r="D1917">
        <v>2151</v>
      </c>
      <c r="E1917" t="str">
        <f>"00"</f>
        <v>00</v>
      </c>
      <c r="F1917" t="str">
        <f t="shared" si="591"/>
        <v>000</v>
      </c>
      <c r="G1917">
        <v>5</v>
      </c>
      <c r="H1917" t="str">
        <f t="shared" si="589"/>
        <v>00</v>
      </c>
      <c r="I1917" t="str">
        <f t="shared" si="580"/>
        <v>0</v>
      </c>
      <c r="J1917" t="str">
        <f t="shared" si="594"/>
        <v>00</v>
      </c>
      <c r="K1917">
        <v>20150527</v>
      </c>
      <c r="L1917" t="str">
        <f>"IRS05B"</f>
        <v>IRS05B</v>
      </c>
      <c r="M1917" t="str">
        <f t="shared" si="592"/>
        <v>00168</v>
      </c>
      <c r="N1917" t="s">
        <v>975</v>
      </c>
      <c r="O1917">
        <v>618.03</v>
      </c>
      <c r="Q1917" t="s">
        <v>33</v>
      </c>
      <c r="R1917" t="s">
        <v>34</v>
      </c>
      <c r="S1917" t="s">
        <v>35</v>
      </c>
      <c r="T1917" t="s">
        <v>35</v>
      </c>
      <c r="U1917" t="s">
        <v>34</v>
      </c>
      <c r="V1917" t="str">
        <f>""</f>
        <v/>
      </c>
      <c r="W1917">
        <v>20150527</v>
      </c>
      <c r="X1917" t="s">
        <v>976</v>
      </c>
      <c r="Y1917" t="s">
        <v>983</v>
      </c>
      <c r="Z1917" t="s">
        <v>983</v>
      </c>
      <c r="AA1917">
        <v>0</v>
      </c>
      <c r="AB1917" t="s">
        <v>142</v>
      </c>
      <c r="AC1917" t="s">
        <v>39</v>
      </c>
      <c r="AD1917" t="s">
        <v>144</v>
      </c>
      <c r="AE1917" t="str">
        <f t="shared" si="595"/>
        <v>05</v>
      </c>
      <c r="AF1917" t="s">
        <v>40</v>
      </c>
    </row>
    <row r="1918" spans="1:32" x14ac:dyDescent="0.25">
      <c r="A1918">
        <v>5</v>
      </c>
      <c r="B1918">
        <v>420</v>
      </c>
      <c r="C1918" t="str">
        <f t="shared" ref="C1918:C1949" si="596">"00"</f>
        <v>00</v>
      </c>
      <c r="D1918">
        <v>2152</v>
      </c>
      <c r="E1918" t="str">
        <f>"01"</f>
        <v>01</v>
      </c>
      <c r="F1918" t="str">
        <f t="shared" si="591"/>
        <v>000</v>
      </c>
      <c r="G1918">
        <v>5</v>
      </c>
      <c r="H1918" t="str">
        <f t="shared" ref="H1918:H1949" si="597">"00"</f>
        <v>00</v>
      </c>
      <c r="I1918" t="str">
        <f t="shared" si="580"/>
        <v>0</v>
      </c>
      <c r="J1918" t="str">
        <f t="shared" si="594"/>
        <v>00</v>
      </c>
      <c r="K1918">
        <v>20150527</v>
      </c>
      <c r="L1918" t="str">
        <f>"IRS05B"</f>
        <v>IRS05B</v>
      </c>
      <c r="M1918" t="str">
        <f t="shared" si="592"/>
        <v>00168</v>
      </c>
      <c r="N1918" t="s">
        <v>975</v>
      </c>
      <c r="O1918">
        <v>116</v>
      </c>
      <c r="Q1918" t="s">
        <v>33</v>
      </c>
      <c r="R1918" t="s">
        <v>34</v>
      </c>
      <c r="S1918" t="s">
        <v>35</v>
      </c>
      <c r="T1918" t="s">
        <v>35</v>
      </c>
      <c r="U1918" t="s">
        <v>34</v>
      </c>
      <c r="V1918" t="str">
        <f>""</f>
        <v/>
      </c>
      <c r="W1918">
        <v>20150527</v>
      </c>
      <c r="X1918" t="s">
        <v>978</v>
      </c>
      <c r="Y1918" t="s">
        <v>983</v>
      </c>
      <c r="Z1918" t="s">
        <v>983</v>
      </c>
      <c r="AA1918">
        <v>0</v>
      </c>
      <c r="AB1918" t="s">
        <v>142</v>
      </c>
      <c r="AC1918" t="s">
        <v>39</v>
      </c>
      <c r="AD1918" t="s">
        <v>144</v>
      </c>
      <c r="AE1918" t="str">
        <f t="shared" si="595"/>
        <v>05</v>
      </c>
      <c r="AF1918" t="s">
        <v>40</v>
      </c>
    </row>
    <row r="1919" spans="1:32" x14ac:dyDescent="0.25">
      <c r="A1919">
        <v>5</v>
      </c>
      <c r="B1919">
        <v>420</v>
      </c>
      <c r="C1919" t="str">
        <f t="shared" si="596"/>
        <v>00</v>
      </c>
      <c r="D1919">
        <v>2152</v>
      </c>
      <c r="E1919" t="str">
        <f>"02"</f>
        <v>02</v>
      </c>
      <c r="F1919" t="str">
        <f t="shared" si="591"/>
        <v>000</v>
      </c>
      <c r="G1919">
        <v>5</v>
      </c>
      <c r="H1919" t="str">
        <f t="shared" si="597"/>
        <v>00</v>
      </c>
      <c r="I1919" t="str">
        <f t="shared" si="580"/>
        <v>0</v>
      </c>
      <c r="J1919" t="str">
        <f t="shared" si="594"/>
        <v>00</v>
      </c>
      <c r="K1919">
        <v>20150527</v>
      </c>
      <c r="L1919" t="str">
        <f>"IRS05B"</f>
        <v>IRS05B</v>
      </c>
      <c r="M1919" t="str">
        <f t="shared" si="592"/>
        <v>00168</v>
      </c>
      <c r="N1919" t="s">
        <v>975</v>
      </c>
      <c r="O1919">
        <v>116</v>
      </c>
      <c r="Q1919" t="s">
        <v>33</v>
      </c>
      <c r="R1919" t="s">
        <v>34</v>
      </c>
      <c r="S1919" t="s">
        <v>35</v>
      </c>
      <c r="T1919" t="s">
        <v>35</v>
      </c>
      <c r="U1919" t="s">
        <v>34</v>
      </c>
      <c r="V1919" t="str">
        <f>""</f>
        <v/>
      </c>
      <c r="W1919">
        <v>20150527</v>
      </c>
      <c r="X1919" t="s">
        <v>979</v>
      </c>
      <c r="Y1919" t="s">
        <v>983</v>
      </c>
      <c r="Z1919" t="s">
        <v>983</v>
      </c>
      <c r="AA1919">
        <v>0</v>
      </c>
      <c r="AB1919" t="s">
        <v>142</v>
      </c>
      <c r="AC1919" t="s">
        <v>39</v>
      </c>
      <c r="AD1919" t="s">
        <v>144</v>
      </c>
      <c r="AE1919" t="str">
        <f t="shared" si="595"/>
        <v>05</v>
      </c>
      <c r="AF1919" t="s">
        <v>40</v>
      </c>
    </row>
    <row r="1920" spans="1:32" x14ac:dyDescent="0.25">
      <c r="A1920">
        <v>5</v>
      </c>
      <c r="B1920">
        <v>420</v>
      </c>
      <c r="C1920" t="str">
        <f t="shared" si="596"/>
        <v>00</v>
      </c>
      <c r="D1920">
        <v>2151</v>
      </c>
      <c r="E1920" t="str">
        <f>"00"</f>
        <v>00</v>
      </c>
      <c r="F1920" t="str">
        <f t="shared" si="591"/>
        <v>000</v>
      </c>
      <c r="G1920">
        <v>5</v>
      </c>
      <c r="H1920" t="str">
        <f t="shared" si="597"/>
        <v>00</v>
      </c>
      <c r="I1920" t="str">
        <f t="shared" si="580"/>
        <v>0</v>
      </c>
      <c r="J1920" t="str">
        <f t="shared" si="594"/>
        <v>00</v>
      </c>
      <c r="K1920">
        <v>20150527</v>
      </c>
      <c r="L1920" t="str">
        <f>"IRS05C"</f>
        <v>IRS05C</v>
      </c>
      <c r="M1920" t="str">
        <f t="shared" si="592"/>
        <v>00168</v>
      </c>
      <c r="N1920" t="s">
        <v>975</v>
      </c>
      <c r="O1920" s="1">
        <v>16694.419999999998</v>
      </c>
      <c r="Q1920" t="s">
        <v>33</v>
      </c>
      <c r="R1920" t="s">
        <v>34</v>
      </c>
      <c r="S1920" t="s">
        <v>35</v>
      </c>
      <c r="T1920" t="s">
        <v>35</v>
      </c>
      <c r="U1920" t="s">
        <v>34</v>
      </c>
      <c r="V1920" t="str">
        <f>""</f>
        <v/>
      </c>
      <c r="W1920">
        <v>20150527</v>
      </c>
      <c r="X1920" t="s">
        <v>976</v>
      </c>
      <c r="Y1920" t="s">
        <v>983</v>
      </c>
      <c r="Z1920" t="s">
        <v>983</v>
      </c>
      <c r="AA1920">
        <v>0</v>
      </c>
      <c r="AB1920" t="s">
        <v>142</v>
      </c>
      <c r="AC1920" t="s">
        <v>39</v>
      </c>
      <c r="AD1920" t="s">
        <v>144</v>
      </c>
      <c r="AE1920" t="str">
        <f t="shared" si="595"/>
        <v>05</v>
      </c>
      <c r="AF1920" t="s">
        <v>40</v>
      </c>
    </row>
    <row r="1921" spans="1:32" x14ac:dyDescent="0.25">
      <c r="A1921">
        <v>5</v>
      </c>
      <c r="B1921">
        <v>420</v>
      </c>
      <c r="C1921" t="str">
        <f t="shared" si="596"/>
        <v>00</v>
      </c>
      <c r="D1921">
        <v>2152</v>
      </c>
      <c r="E1921" t="str">
        <f>"01"</f>
        <v>01</v>
      </c>
      <c r="F1921" t="str">
        <f t="shared" si="591"/>
        <v>000</v>
      </c>
      <c r="G1921">
        <v>5</v>
      </c>
      <c r="H1921" t="str">
        <f t="shared" si="597"/>
        <v>00</v>
      </c>
      <c r="I1921" t="str">
        <f t="shared" si="580"/>
        <v>0</v>
      </c>
      <c r="J1921" t="str">
        <f t="shared" si="594"/>
        <v>00</v>
      </c>
      <c r="K1921">
        <v>20150527</v>
      </c>
      <c r="L1921" t="str">
        <f>"IRS05C"</f>
        <v>IRS05C</v>
      </c>
      <c r="M1921" t="str">
        <f t="shared" si="592"/>
        <v>00168</v>
      </c>
      <c r="N1921" t="s">
        <v>975</v>
      </c>
      <c r="O1921" s="1">
        <v>3635.24</v>
      </c>
      <c r="Q1921" t="s">
        <v>33</v>
      </c>
      <c r="R1921" t="s">
        <v>34</v>
      </c>
      <c r="S1921" t="s">
        <v>35</v>
      </c>
      <c r="T1921" t="s">
        <v>35</v>
      </c>
      <c r="U1921" t="s">
        <v>34</v>
      </c>
      <c r="V1921" t="str">
        <f>""</f>
        <v/>
      </c>
      <c r="W1921">
        <v>20150527</v>
      </c>
      <c r="X1921" t="s">
        <v>978</v>
      </c>
      <c r="Y1921" t="s">
        <v>983</v>
      </c>
      <c r="Z1921" t="s">
        <v>983</v>
      </c>
      <c r="AA1921">
        <v>0</v>
      </c>
      <c r="AB1921" t="s">
        <v>142</v>
      </c>
      <c r="AC1921" t="s">
        <v>39</v>
      </c>
      <c r="AD1921" t="s">
        <v>144</v>
      </c>
      <c r="AE1921" t="str">
        <f t="shared" si="595"/>
        <v>05</v>
      </c>
      <c r="AF1921" t="s">
        <v>40</v>
      </c>
    </row>
    <row r="1922" spans="1:32" x14ac:dyDescent="0.25">
      <c r="A1922">
        <v>5</v>
      </c>
      <c r="B1922">
        <v>420</v>
      </c>
      <c r="C1922" t="str">
        <f t="shared" si="596"/>
        <v>00</v>
      </c>
      <c r="D1922">
        <v>2152</v>
      </c>
      <c r="E1922" t="str">
        <f>"02"</f>
        <v>02</v>
      </c>
      <c r="F1922" t="str">
        <f t="shared" si="591"/>
        <v>000</v>
      </c>
      <c r="G1922">
        <v>5</v>
      </c>
      <c r="H1922" t="str">
        <f t="shared" si="597"/>
        <v>00</v>
      </c>
      <c r="I1922" t="str">
        <f t="shared" ref="I1922:I1985" si="598">"0"</f>
        <v>0</v>
      </c>
      <c r="J1922" t="str">
        <f t="shared" si="594"/>
        <v>00</v>
      </c>
      <c r="K1922">
        <v>20150527</v>
      </c>
      <c r="L1922" t="str">
        <f>"IRS05C"</f>
        <v>IRS05C</v>
      </c>
      <c r="M1922" t="str">
        <f t="shared" si="592"/>
        <v>00168</v>
      </c>
      <c r="N1922" t="s">
        <v>975</v>
      </c>
      <c r="O1922" s="1">
        <v>3635.24</v>
      </c>
      <c r="Q1922" t="s">
        <v>33</v>
      </c>
      <c r="R1922" t="s">
        <v>34</v>
      </c>
      <c r="S1922" t="s">
        <v>35</v>
      </c>
      <c r="T1922" t="s">
        <v>35</v>
      </c>
      <c r="U1922" t="s">
        <v>34</v>
      </c>
      <c r="V1922" t="str">
        <f>""</f>
        <v/>
      </c>
      <c r="W1922">
        <v>20150527</v>
      </c>
      <c r="X1922" t="s">
        <v>979</v>
      </c>
      <c r="Y1922" t="s">
        <v>983</v>
      </c>
      <c r="Z1922" t="s">
        <v>983</v>
      </c>
      <c r="AA1922">
        <v>0</v>
      </c>
      <c r="AB1922" t="s">
        <v>142</v>
      </c>
      <c r="AC1922" t="s">
        <v>39</v>
      </c>
      <c r="AD1922" t="s">
        <v>144</v>
      </c>
      <c r="AE1922" t="str">
        <f t="shared" si="595"/>
        <v>05</v>
      </c>
      <c r="AF1922" t="s">
        <v>40</v>
      </c>
    </row>
    <row r="1923" spans="1:32" x14ac:dyDescent="0.25">
      <c r="A1923">
        <v>5</v>
      </c>
      <c r="B1923">
        <v>420</v>
      </c>
      <c r="C1923" t="str">
        <f t="shared" si="596"/>
        <v>00</v>
      </c>
      <c r="D1923">
        <v>2151</v>
      </c>
      <c r="E1923" t="str">
        <f>"00"</f>
        <v>00</v>
      </c>
      <c r="F1923" t="str">
        <f t="shared" si="591"/>
        <v>000</v>
      </c>
      <c r="G1923">
        <v>5</v>
      </c>
      <c r="H1923" t="str">
        <f t="shared" si="597"/>
        <v>00</v>
      </c>
      <c r="I1923" t="str">
        <f t="shared" si="598"/>
        <v>0</v>
      </c>
      <c r="J1923" t="str">
        <f t="shared" si="594"/>
        <v>00</v>
      </c>
      <c r="K1923">
        <v>20150626</v>
      </c>
      <c r="L1923" t="str">
        <f>"IRS06A"</f>
        <v>IRS06A</v>
      </c>
      <c r="M1923" t="str">
        <f t="shared" si="592"/>
        <v>00168</v>
      </c>
      <c r="N1923" t="s">
        <v>975</v>
      </c>
      <c r="O1923">
        <v>40.26</v>
      </c>
      <c r="Q1923" t="s">
        <v>33</v>
      </c>
      <c r="R1923" t="s">
        <v>34</v>
      </c>
      <c r="S1923" t="s">
        <v>35</v>
      </c>
      <c r="T1923" t="s">
        <v>35</v>
      </c>
      <c r="U1923" t="s">
        <v>34</v>
      </c>
      <c r="V1923" t="str">
        <f>""</f>
        <v/>
      </c>
      <c r="W1923">
        <v>20150626</v>
      </c>
      <c r="X1923" t="s">
        <v>976</v>
      </c>
      <c r="Y1923" t="s">
        <v>984</v>
      </c>
      <c r="Z1923" t="s">
        <v>984</v>
      </c>
      <c r="AA1923">
        <v>0</v>
      </c>
      <c r="AB1923" t="s">
        <v>142</v>
      </c>
      <c r="AC1923" t="s">
        <v>39</v>
      </c>
      <c r="AD1923" t="s">
        <v>144</v>
      </c>
      <c r="AE1923" t="str">
        <f t="shared" ref="AE1923:AE1928" si="599">"06"</f>
        <v>06</v>
      </c>
      <c r="AF1923" t="s">
        <v>40</v>
      </c>
    </row>
    <row r="1924" spans="1:32" x14ac:dyDescent="0.25">
      <c r="A1924">
        <v>5</v>
      </c>
      <c r="B1924">
        <v>420</v>
      </c>
      <c r="C1924" t="str">
        <f t="shared" si="596"/>
        <v>00</v>
      </c>
      <c r="D1924">
        <v>2152</v>
      </c>
      <c r="E1924" t="str">
        <f>"01"</f>
        <v>01</v>
      </c>
      <c r="F1924" t="str">
        <f t="shared" si="591"/>
        <v>000</v>
      </c>
      <c r="G1924">
        <v>5</v>
      </c>
      <c r="H1924" t="str">
        <f t="shared" si="597"/>
        <v>00</v>
      </c>
      <c r="I1924" t="str">
        <f t="shared" si="598"/>
        <v>0</v>
      </c>
      <c r="J1924" t="str">
        <f t="shared" si="594"/>
        <v>00</v>
      </c>
      <c r="K1924">
        <v>20150626</v>
      </c>
      <c r="L1924" t="str">
        <f>"IRS06A"</f>
        <v>IRS06A</v>
      </c>
      <c r="M1924" t="str">
        <f t="shared" si="592"/>
        <v>00168</v>
      </c>
      <c r="N1924" t="s">
        <v>975</v>
      </c>
      <c r="O1924">
        <v>17.399999999999999</v>
      </c>
      <c r="Q1924" t="s">
        <v>33</v>
      </c>
      <c r="R1924" t="s">
        <v>34</v>
      </c>
      <c r="S1924" t="s">
        <v>35</v>
      </c>
      <c r="T1924" t="s">
        <v>35</v>
      </c>
      <c r="U1924" t="s">
        <v>34</v>
      </c>
      <c r="V1924" t="str">
        <f>""</f>
        <v/>
      </c>
      <c r="W1924">
        <v>20150626</v>
      </c>
      <c r="X1924" t="s">
        <v>978</v>
      </c>
      <c r="Y1924" t="s">
        <v>984</v>
      </c>
      <c r="Z1924" t="s">
        <v>984</v>
      </c>
      <c r="AA1924">
        <v>0</v>
      </c>
      <c r="AB1924" t="s">
        <v>142</v>
      </c>
      <c r="AC1924" t="s">
        <v>39</v>
      </c>
      <c r="AD1924" t="s">
        <v>144</v>
      </c>
      <c r="AE1924" t="str">
        <f t="shared" si="599"/>
        <v>06</v>
      </c>
      <c r="AF1924" t="s">
        <v>40</v>
      </c>
    </row>
    <row r="1925" spans="1:32" x14ac:dyDescent="0.25">
      <c r="A1925">
        <v>5</v>
      </c>
      <c r="B1925">
        <v>420</v>
      </c>
      <c r="C1925" t="str">
        <f t="shared" si="596"/>
        <v>00</v>
      </c>
      <c r="D1925">
        <v>2152</v>
      </c>
      <c r="E1925" t="str">
        <f>"02"</f>
        <v>02</v>
      </c>
      <c r="F1925" t="str">
        <f t="shared" si="591"/>
        <v>000</v>
      </c>
      <c r="G1925">
        <v>5</v>
      </c>
      <c r="H1925" t="str">
        <f t="shared" si="597"/>
        <v>00</v>
      </c>
      <c r="I1925" t="str">
        <f t="shared" si="598"/>
        <v>0</v>
      </c>
      <c r="J1925" t="str">
        <f t="shared" si="594"/>
        <v>00</v>
      </c>
      <c r="K1925">
        <v>20150626</v>
      </c>
      <c r="L1925" t="str">
        <f>"IRS06A"</f>
        <v>IRS06A</v>
      </c>
      <c r="M1925" t="str">
        <f t="shared" si="592"/>
        <v>00168</v>
      </c>
      <c r="N1925" t="s">
        <v>975</v>
      </c>
      <c r="O1925">
        <v>17.399999999999999</v>
      </c>
      <c r="Q1925" t="s">
        <v>33</v>
      </c>
      <c r="R1925" t="s">
        <v>34</v>
      </c>
      <c r="S1925" t="s">
        <v>35</v>
      </c>
      <c r="T1925" t="s">
        <v>35</v>
      </c>
      <c r="U1925" t="s">
        <v>34</v>
      </c>
      <c r="V1925" t="str">
        <f>""</f>
        <v/>
      </c>
      <c r="W1925">
        <v>20150626</v>
      </c>
      <c r="X1925" t="s">
        <v>979</v>
      </c>
      <c r="Y1925" t="s">
        <v>984</v>
      </c>
      <c r="Z1925" t="s">
        <v>984</v>
      </c>
      <c r="AA1925">
        <v>0</v>
      </c>
      <c r="AB1925" t="s">
        <v>142</v>
      </c>
      <c r="AC1925" t="s">
        <v>39</v>
      </c>
      <c r="AD1925" t="s">
        <v>144</v>
      </c>
      <c r="AE1925" t="str">
        <f t="shared" si="599"/>
        <v>06</v>
      </c>
      <c r="AF1925" t="s">
        <v>40</v>
      </c>
    </row>
    <row r="1926" spans="1:32" x14ac:dyDescent="0.25">
      <c r="A1926">
        <v>5</v>
      </c>
      <c r="B1926">
        <v>420</v>
      </c>
      <c r="C1926" t="str">
        <f t="shared" si="596"/>
        <v>00</v>
      </c>
      <c r="D1926">
        <v>2151</v>
      </c>
      <c r="E1926" t="str">
        <f>"00"</f>
        <v>00</v>
      </c>
      <c r="F1926" t="str">
        <f t="shared" si="591"/>
        <v>000</v>
      </c>
      <c r="G1926">
        <v>5</v>
      </c>
      <c r="H1926" t="str">
        <f t="shared" si="597"/>
        <v>00</v>
      </c>
      <c r="I1926" t="str">
        <f t="shared" si="598"/>
        <v>0</v>
      </c>
      <c r="J1926" t="str">
        <f t="shared" si="594"/>
        <v>00</v>
      </c>
      <c r="K1926">
        <v>20150626</v>
      </c>
      <c r="L1926" t="str">
        <f>"IRS06B"</f>
        <v>IRS06B</v>
      </c>
      <c r="M1926" t="str">
        <f t="shared" si="592"/>
        <v>00168</v>
      </c>
      <c r="N1926" t="s">
        <v>975</v>
      </c>
      <c r="O1926" s="1">
        <v>16909.689999999999</v>
      </c>
      <c r="Q1926" t="s">
        <v>33</v>
      </c>
      <c r="R1926" t="s">
        <v>34</v>
      </c>
      <c r="S1926" t="s">
        <v>35</v>
      </c>
      <c r="T1926" t="s">
        <v>35</v>
      </c>
      <c r="U1926" t="s">
        <v>34</v>
      </c>
      <c r="V1926" t="str">
        <f>""</f>
        <v/>
      </c>
      <c r="W1926">
        <v>20150626</v>
      </c>
      <c r="X1926" t="s">
        <v>976</v>
      </c>
      <c r="Y1926" t="s">
        <v>984</v>
      </c>
      <c r="Z1926" t="s">
        <v>984</v>
      </c>
      <c r="AA1926">
        <v>0</v>
      </c>
      <c r="AB1926" t="s">
        <v>142</v>
      </c>
      <c r="AC1926" t="s">
        <v>39</v>
      </c>
      <c r="AD1926" t="s">
        <v>144</v>
      </c>
      <c r="AE1926" t="str">
        <f t="shared" si="599"/>
        <v>06</v>
      </c>
      <c r="AF1926" t="s">
        <v>40</v>
      </c>
    </row>
    <row r="1927" spans="1:32" x14ac:dyDescent="0.25">
      <c r="A1927">
        <v>5</v>
      </c>
      <c r="B1927">
        <v>420</v>
      </c>
      <c r="C1927" t="str">
        <f t="shared" si="596"/>
        <v>00</v>
      </c>
      <c r="D1927">
        <v>2152</v>
      </c>
      <c r="E1927" t="str">
        <f>"01"</f>
        <v>01</v>
      </c>
      <c r="F1927" t="str">
        <f t="shared" si="591"/>
        <v>000</v>
      </c>
      <c r="G1927">
        <v>5</v>
      </c>
      <c r="H1927" t="str">
        <f t="shared" si="597"/>
        <v>00</v>
      </c>
      <c r="I1927" t="str">
        <f t="shared" si="598"/>
        <v>0</v>
      </c>
      <c r="J1927" t="str">
        <f t="shared" si="594"/>
        <v>00</v>
      </c>
      <c r="K1927">
        <v>20150626</v>
      </c>
      <c r="L1927" t="str">
        <f>"IRS06B"</f>
        <v>IRS06B</v>
      </c>
      <c r="M1927" t="str">
        <f t="shared" si="592"/>
        <v>00168</v>
      </c>
      <c r="N1927" t="s">
        <v>975</v>
      </c>
      <c r="O1927" s="1">
        <v>3586.83</v>
      </c>
      <c r="Q1927" t="s">
        <v>33</v>
      </c>
      <c r="R1927" t="s">
        <v>34</v>
      </c>
      <c r="S1927" t="s">
        <v>35</v>
      </c>
      <c r="T1927" t="s">
        <v>35</v>
      </c>
      <c r="U1927" t="s">
        <v>34</v>
      </c>
      <c r="V1927" t="str">
        <f>""</f>
        <v/>
      </c>
      <c r="W1927">
        <v>20150626</v>
      </c>
      <c r="X1927" t="s">
        <v>978</v>
      </c>
      <c r="Y1927" t="s">
        <v>984</v>
      </c>
      <c r="Z1927" t="s">
        <v>984</v>
      </c>
      <c r="AA1927">
        <v>0</v>
      </c>
      <c r="AB1927" t="s">
        <v>142</v>
      </c>
      <c r="AC1927" t="s">
        <v>39</v>
      </c>
      <c r="AD1927" t="s">
        <v>144</v>
      </c>
      <c r="AE1927" t="str">
        <f t="shared" si="599"/>
        <v>06</v>
      </c>
      <c r="AF1927" t="s">
        <v>40</v>
      </c>
    </row>
    <row r="1928" spans="1:32" x14ac:dyDescent="0.25">
      <c r="A1928">
        <v>5</v>
      </c>
      <c r="B1928">
        <v>420</v>
      </c>
      <c r="C1928" t="str">
        <f t="shared" si="596"/>
        <v>00</v>
      </c>
      <c r="D1928">
        <v>2152</v>
      </c>
      <c r="E1928" t="str">
        <f>"02"</f>
        <v>02</v>
      </c>
      <c r="F1928" t="str">
        <f t="shared" si="591"/>
        <v>000</v>
      </c>
      <c r="G1928">
        <v>5</v>
      </c>
      <c r="H1928" t="str">
        <f t="shared" si="597"/>
        <v>00</v>
      </c>
      <c r="I1928" t="str">
        <f t="shared" si="598"/>
        <v>0</v>
      </c>
      <c r="J1928" t="str">
        <f t="shared" si="594"/>
        <v>00</v>
      </c>
      <c r="K1928">
        <v>20150626</v>
      </c>
      <c r="L1928" t="str">
        <f>"IRS06B"</f>
        <v>IRS06B</v>
      </c>
      <c r="M1928" t="str">
        <f t="shared" si="592"/>
        <v>00168</v>
      </c>
      <c r="N1928" t="s">
        <v>975</v>
      </c>
      <c r="O1928" s="1">
        <v>3586.83</v>
      </c>
      <c r="Q1928" t="s">
        <v>33</v>
      </c>
      <c r="R1928" t="s">
        <v>34</v>
      </c>
      <c r="S1928" t="s">
        <v>35</v>
      </c>
      <c r="T1928" t="s">
        <v>35</v>
      </c>
      <c r="U1928" t="s">
        <v>34</v>
      </c>
      <c r="V1928" t="str">
        <f>""</f>
        <v/>
      </c>
      <c r="W1928">
        <v>20150626</v>
      </c>
      <c r="X1928" t="s">
        <v>979</v>
      </c>
      <c r="Y1928" t="s">
        <v>984</v>
      </c>
      <c r="Z1928" t="s">
        <v>984</v>
      </c>
      <c r="AA1928">
        <v>0</v>
      </c>
      <c r="AB1928" t="s">
        <v>142</v>
      </c>
      <c r="AC1928" t="s">
        <v>39</v>
      </c>
      <c r="AD1928" t="s">
        <v>144</v>
      </c>
      <c r="AE1928" t="str">
        <f t="shared" si="599"/>
        <v>06</v>
      </c>
      <c r="AF1928" t="s">
        <v>40</v>
      </c>
    </row>
    <row r="1929" spans="1:32" x14ac:dyDescent="0.25">
      <c r="A1929">
        <v>5</v>
      </c>
      <c r="B1929">
        <v>420</v>
      </c>
      <c r="C1929" t="str">
        <f t="shared" si="596"/>
        <v>00</v>
      </c>
      <c r="D1929">
        <v>2151</v>
      </c>
      <c r="E1929" t="str">
        <f>"00"</f>
        <v>00</v>
      </c>
      <c r="F1929" t="str">
        <f t="shared" si="591"/>
        <v>000</v>
      </c>
      <c r="G1929">
        <v>5</v>
      </c>
      <c r="H1929" t="str">
        <f t="shared" si="597"/>
        <v>00</v>
      </c>
      <c r="I1929" t="str">
        <f t="shared" si="598"/>
        <v>0</v>
      </c>
      <c r="J1929" t="str">
        <f t="shared" si="594"/>
        <v>00</v>
      </c>
      <c r="K1929">
        <v>20150720</v>
      </c>
      <c r="L1929" t="str">
        <f>"IRS07A"</f>
        <v>IRS07A</v>
      </c>
      <c r="M1929" t="str">
        <f t="shared" si="592"/>
        <v>00168</v>
      </c>
      <c r="N1929" t="s">
        <v>975</v>
      </c>
      <c r="O1929">
        <v>244.9</v>
      </c>
      <c r="Q1929" t="s">
        <v>33</v>
      </c>
      <c r="R1929" t="s">
        <v>34</v>
      </c>
      <c r="S1929" t="s">
        <v>35</v>
      </c>
      <c r="T1929" t="s">
        <v>35</v>
      </c>
      <c r="U1929" t="s">
        <v>34</v>
      </c>
      <c r="V1929" t="str">
        <f>""</f>
        <v/>
      </c>
      <c r="W1929">
        <v>20150720</v>
      </c>
      <c r="X1929" t="s">
        <v>976</v>
      </c>
      <c r="Y1929" t="s">
        <v>985</v>
      </c>
      <c r="Z1929" t="s">
        <v>985</v>
      </c>
      <c r="AA1929">
        <v>0</v>
      </c>
      <c r="AB1929" t="s">
        <v>142</v>
      </c>
      <c r="AC1929" t="s">
        <v>39</v>
      </c>
      <c r="AD1929" t="s">
        <v>144</v>
      </c>
      <c r="AE1929" t="str">
        <f t="shared" ref="AE1929:AE1934" si="600">"07"</f>
        <v>07</v>
      </c>
      <c r="AF1929" t="s">
        <v>40</v>
      </c>
    </row>
    <row r="1930" spans="1:32" x14ac:dyDescent="0.25">
      <c r="A1930">
        <v>5</v>
      </c>
      <c r="B1930">
        <v>420</v>
      </c>
      <c r="C1930" t="str">
        <f t="shared" si="596"/>
        <v>00</v>
      </c>
      <c r="D1930">
        <v>2152</v>
      </c>
      <c r="E1930" t="str">
        <f>"01"</f>
        <v>01</v>
      </c>
      <c r="F1930" t="str">
        <f t="shared" si="591"/>
        <v>000</v>
      </c>
      <c r="G1930">
        <v>5</v>
      </c>
      <c r="H1930" t="str">
        <f t="shared" si="597"/>
        <v>00</v>
      </c>
      <c r="I1930" t="str">
        <f t="shared" si="598"/>
        <v>0</v>
      </c>
      <c r="J1930" t="str">
        <f t="shared" si="594"/>
        <v>00</v>
      </c>
      <c r="K1930">
        <v>20150720</v>
      </c>
      <c r="L1930" t="str">
        <f>"IRS07A"</f>
        <v>IRS07A</v>
      </c>
      <c r="M1930" t="str">
        <f t="shared" si="592"/>
        <v>00168</v>
      </c>
      <c r="N1930" t="s">
        <v>975</v>
      </c>
      <c r="O1930">
        <v>66.63</v>
      </c>
      <c r="Q1930" t="s">
        <v>33</v>
      </c>
      <c r="R1930" t="s">
        <v>34</v>
      </c>
      <c r="S1930" t="s">
        <v>35</v>
      </c>
      <c r="T1930" t="s">
        <v>35</v>
      </c>
      <c r="U1930" t="s">
        <v>34</v>
      </c>
      <c r="V1930" t="str">
        <f>""</f>
        <v/>
      </c>
      <c r="W1930">
        <v>20150720</v>
      </c>
      <c r="X1930" t="s">
        <v>978</v>
      </c>
      <c r="Y1930" t="s">
        <v>985</v>
      </c>
      <c r="Z1930" t="s">
        <v>985</v>
      </c>
      <c r="AA1930">
        <v>0</v>
      </c>
      <c r="AB1930" t="s">
        <v>142</v>
      </c>
      <c r="AC1930" t="s">
        <v>39</v>
      </c>
      <c r="AD1930" t="s">
        <v>144</v>
      </c>
      <c r="AE1930" t="str">
        <f t="shared" si="600"/>
        <v>07</v>
      </c>
      <c r="AF1930" t="s">
        <v>40</v>
      </c>
    </row>
    <row r="1931" spans="1:32" x14ac:dyDescent="0.25">
      <c r="A1931">
        <v>5</v>
      </c>
      <c r="B1931">
        <v>420</v>
      </c>
      <c r="C1931" t="str">
        <f t="shared" si="596"/>
        <v>00</v>
      </c>
      <c r="D1931">
        <v>2152</v>
      </c>
      <c r="E1931" t="str">
        <f>"02"</f>
        <v>02</v>
      </c>
      <c r="F1931" t="str">
        <f t="shared" ref="F1931:F1963" si="601">"000"</f>
        <v>000</v>
      </c>
      <c r="G1931">
        <v>5</v>
      </c>
      <c r="H1931" t="str">
        <f t="shared" si="597"/>
        <v>00</v>
      </c>
      <c r="I1931" t="str">
        <f t="shared" si="598"/>
        <v>0</v>
      </c>
      <c r="J1931" t="str">
        <f t="shared" si="594"/>
        <v>00</v>
      </c>
      <c r="K1931">
        <v>20150720</v>
      </c>
      <c r="L1931" t="str">
        <f>"IRS07A"</f>
        <v>IRS07A</v>
      </c>
      <c r="M1931" t="str">
        <f t="shared" ref="M1931:M1963" si="602">"00168"</f>
        <v>00168</v>
      </c>
      <c r="N1931" t="s">
        <v>975</v>
      </c>
      <c r="O1931">
        <v>66.63</v>
      </c>
      <c r="Q1931" t="s">
        <v>33</v>
      </c>
      <c r="R1931" t="s">
        <v>34</v>
      </c>
      <c r="S1931" t="s">
        <v>35</v>
      </c>
      <c r="T1931" t="s">
        <v>35</v>
      </c>
      <c r="U1931" t="s">
        <v>34</v>
      </c>
      <c r="V1931" t="str">
        <f>""</f>
        <v/>
      </c>
      <c r="W1931">
        <v>20150720</v>
      </c>
      <c r="X1931" t="s">
        <v>979</v>
      </c>
      <c r="Y1931" t="s">
        <v>985</v>
      </c>
      <c r="Z1931" t="s">
        <v>985</v>
      </c>
      <c r="AA1931">
        <v>0</v>
      </c>
      <c r="AB1931" t="s">
        <v>142</v>
      </c>
      <c r="AC1931" t="s">
        <v>39</v>
      </c>
      <c r="AD1931" t="s">
        <v>144</v>
      </c>
      <c r="AE1931" t="str">
        <f t="shared" si="600"/>
        <v>07</v>
      </c>
      <c r="AF1931" t="s">
        <v>40</v>
      </c>
    </row>
    <row r="1932" spans="1:32" x14ac:dyDescent="0.25">
      <c r="A1932">
        <v>5</v>
      </c>
      <c r="B1932">
        <v>420</v>
      </c>
      <c r="C1932" t="str">
        <f t="shared" si="596"/>
        <v>00</v>
      </c>
      <c r="D1932">
        <v>2151</v>
      </c>
      <c r="E1932" t="str">
        <f>"00"</f>
        <v>00</v>
      </c>
      <c r="F1932" t="str">
        <f t="shared" si="601"/>
        <v>000</v>
      </c>
      <c r="G1932">
        <v>5</v>
      </c>
      <c r="H1932" t="str">
        <f t="shared" si="597"/>
        <v>00</v>
      </c>
      <c r="I1932" t="str">
        <f t="shared" si="598"/>
        <v>0</v>
      </c>
      <c r="J1932" t="str">
        <f t="shared" si="594"/>
        <v>00</v>
      </c>
      <c r="K1932">
        <v>20150728</v>
      </c>
      <c r="L1932" t="str">
        <f>"irs07c"</f>
        <v>irs07c</v>
      </c>
      <c r="M1932" t="str">
        <f t="shared" si="602"/>
        <v>00168</v>
      </c>
      <c r="N1932" t="s">
        <v>975</v>
      </c>
      <c r="O1932" s="1">
        <v>14487.52</v>
      </c>
      <c r="Q1932" t="s">
        <v>33</v>
      </c>
      <c r="R1932" t="s">
        <v>34</v>
      </c>
      <c r="S1932" t="s">
        <v>35</v>
      </c>
      <c r="T1932" t="s">
        <v>35</v>
      </c>
      <c r="U1932" t="s">
        <v>34</v>
      </c>
      <c r="V1932" t="str">
        <f>""</f>
        <v/>
      </c>
      <c r="W1932">
        <v>20150728</v>
      </c>
      <c r="X1932" t="s">
        <v>976</v>
      </c>
      <c r="Y1932" t="s">
        <v>985</v>
      </c>
      <c r="Z1932" t="s">
        <v>985</v>
      </c>
      <c r="AA1932">
        <v>0</v>
      </c>
      <c r="AB1932" t="s">
        <v>142</v>
      </c>
      <c r="AC1932" t="s">
        <v>39</v>
      </c>
      <c r="AD1932" t="s">
        <v>144</v>
      </c>
      <c r="AE1932" t="str">
        <f t="shared" si="600"/>
        <v>07</v>
      </c>
      <c r="AF1932" t="s">
        <v>40</v>
      </c>
    </row>
    <row r="1933" spans="1:32" x14ac:dyDescent="0.25">
      <c r="A1933">
        <v>5</v>
      </c>
      <c r="B1933">
        <v>420</v>
      </c>
      <c r="C1933" t="str">
        <f t="shared" si="596"/>
        <v>00</v>
      </c>
      <c r="D1933">
        <v>2152</v>
      </c>
      <c r="E1933" t="str">
        <f>"01"</f>
        <v>01</v>
      </c>
      <c r="F1933" t="str">
        <f t="shared" si="601"/>
        <v>000</v>
      </c>
      <c r="G1933">
        <v>5</v>
      </c>
      <c r="H1933" t="str">
        <f t="shared" si="597"/>
        <v>00</v>
      </c>
      <c r="I1933" t="str">
        <f t="shared" si="598"/>
        <v>0</v>
      </c>
      <c r="J1933" t="str">
        <f t="shared" si="594"/>
        <v>00</v>
      </c>
      <c r="K1933">
        <v>20150728</v>
      </c>
      <c r="L1933" t="str">
        <f>"irs07c"</f>
        <v>irs07c</v>
      </c>
      <c r="M1933" t="str">
        <f t="shared" si="602"/>
        <v>00168</v>
      </c>
      <c r="N1933" t="s">
        <v>975</v>
      </c>
      <c r="O1933" s="1">
        <v>2579.61</v>
      </c>
      <c r="Q1933" t="s">
        <v>33</v>
      </c>
      <c r="R1933" t="s">
        <v>34</v>
      </c>
      <c r="S1933" t="s">
        <v>35</v>
      </c>
      <c r="T1933" t="s">
        <v>35</v>
      </c>
      <c r="U1933" t="s">
        <v>34</v>
      </c>
      <c r="V1933" t="str">
        <f>""</f>
        <v/>
      </c>
      <c r="W1933">
        <v>20150728</v>
      </c>
      <c r="X1933" t="s">
        <v>978</v>
      </c>
      <c r="Y1933" t="s">
        <v>985</v>
      </c>
      <c r="Z1933" t="s">
        <v>985</v>
      </c>
      <c r="AA1933">
        <v>0</v>
      </c>
      <c r="AB1933" t="s">
        <v>142</v>
      </c>
      <c r="AC1933" t="s">
        <v>39</v>
      </c>
      <c r="AD1933" t="s">
        <v>144</v>
      </c>
      <c r="AE1933" t="str">
        <f t="shared" si="600"/>
        <v>07</v>
      </c>
      <c r="AF1933" t="s">
        <v>40</v>
      </c>
    </row>
    <row r="1934" spans="1:32" x14ac:dyDescent="0.25">
      <c r="A1934">
        <v>5</v>
      </c>
      <c r="B1934">
        <v>420</v>
      </c>
      <c r="C1934" t="str">
        <f t="shared" si="596"/>
        <v>00</v>
      </c>
      <c r="D1934">
        <v>2152</v>
      </c>
      <c r="E1934" t="str">
        <f>"02"</f>
        <v>02</v>
      </c>
      <c r="F1934" t="str">
        <f t="shared" si="601"/>
        <v>000</v>
      </c>
      <c r="G1934">
        <v>5</v>
      </c>
      <c r="H1934" t="str">
        <f t="shared" si="597"/>
        <v>00</v>
      </c>
      <c r="I1934" t="str">
        <f t="shared" si="598"/>
        <v>0</v>
      </c>
      <c r="J1934" t="str">
        <f t="shared" si="594"/>
        <v>00</v>
      </c>
      <c r="K1934">
        <v>20150728</v>
      </c>
      <c r="L1934" t="str">
        <f>"irs07c"</f>
        <v>irs07c</v>
      </c>
      <c r="M1934" t="str">
        <f t="shared" si="602"/>
        <v>00168</v>
      </c>
      <c r="N1934" t="s">
        <v>975</v>
      </c>
      <c r="O1934" s="1">
        <v>2579.61</v>
      </c>
      <c r="Q1934" t="s">
        <v>33</v>
      </c>
      <c r="R1934" t="s">
        <v>34</v>
      </c>
      <c r="S1934" t="s">
        <v>35</v>
      </c>
      <c r="T1934" t="s">
        <v>35</v>
      </c>
      <c r="U1934" t="s">
        <v>34</v>
      </c>
      <c r="V1934" t="str">
        <f>""</f>
        <v/>
      </c>
      <c r="W1934">
        <v>20150728</v>
      </c>
      <c r="X1934" t="s">
        <v>979</v>
      </c>
      <c r="Y1934" t="s">
        <v>985</v>
      </c>
      <c r="Z1934" t="s">
        <v>985</v>
      </c>
      <c r="AA1934">
        <v>0</v>
      </c>
      <c r="AB1934" t="s">
        <v>142</v>
      </c>
      <c r="AC1934" t="s">
        <v>39</v>
      </c>
      <c r="AD1934" t="s">
        <v>144</v>
      </c>
      <c r="AE1934" t="str">
        <f t="shared" si="600"/>
        <v>07</v>
      </c>
      <c r="AF1934" t="s">
        <v>40</v>
      </c>
    </row>
    <row r="1935" spans="1:32" x14ac:dyDescent="0.25">
      <c r="A1935">
        <v>5</v>
      </c>
      <c r="B1935">
        <v>420</v>
      </c>
      <c r="C1935" t="str">
        <f t="shared" si="596"/>
        <v>00</v>
      </c>
      <c r="D1935">
        <v>2151</v>
      </c>
      <c r="E1935" t="str">
        <f>"00"</f>
        <v>00</v>
      </c>
      <c r="F1935" t="str">
        <f t="shared" si="601"/>
        <v>000</v>
      </c>
      <c r="G1935">
        <v>5</v>
      </c>
      <c r="H1935" t="str">
        <f t="shared" si="597"/>
        <v>00</v>
      </c>
      <c r="I1935" t="str">
        <f t="shared" si="598"/>
        <v>0</v>
      </c>
      <c r="J1935" t="str">
        <f t="shared" si="594"/>
        <v>00</v>
      </c>
      <c r="K1935">
        <v>20140930</v>
      </c>
      <c r="L1935" t="str">
        <f t="shared" ref="L1935:L1940" si="603">"IRS09"</f>
        <v>IRS09</v>
      </c>
      <c r="M1935" t="str">
        <f t="shared" si="602"/>
        <v>00168</v>
      </c>
      <c r="N1935" t="s">
        <v>975</v>
      </c>
      <c r="O1935" s="1">
        <v>15831.68</v>
      </c>
      <c r="Q1935" t="s">
        <v>33</v>
      </c>
      <c r="R1935" t="s">
        <v>34</v>
      </c>
      <c r="S1935" t="s">
        <v>35</v>
      </c>
      <c r="T1935" t="s">
        <v>35</v>
      </c>
      <c r="U1935" t="s">
        <v>34</v>
      </c>
      <c r="V1935" t="str">
        <f>""</f>
        <v/>
      </c>
      <c r="W1935">
        <v>20140930</v>
      </c>
      <c r="X1935" t="s">
        <v>976</v>
      </c>
      <c r="Y1935" t="s">
        <v>986</v>
      </c>
      <c r="Z1935" t="s">
        <v>986</v>
      </c>
      <c r="AA1935">
        <v>0</v>
      </c>
      <c r="AB1935" t="s">
        <v>142</v>
      </c>
      <c r="AC1935" t="s">
        <v>39</v>
      </c>
      <c r="AD1935" t="s">
        <v>144</v>
      </c>
      <c r="AE1935" t="str">
        <f>"09"</f>
        <v>09</v>
      </c>
      <c r="AF1935" t="s">
        <v>40</v>
      </c>
    </row>
    <row r="1936" spans="1:32" x14ac:dyDescent="0.25">
      <c r="A1936">
        <v>5</v>
      </c>
      <c r="B1936">
        <v>420</v>
      </c>
      <c r="C1936" t="str">
        <f t="shared" si="596"/>
        <v>00</v>
      </c>
      <c r="D1936">
        <v>2152</v>
      </c>
      <c r="E1936" t="str">
        <f>"01"</f>
        <v>01</v>
      </c>
      <c r="F1936" t="str">
        <f t="shared" si="601"/>
        <v>000</v>
      </c>
      <c r="G1936">
        <v>5</v>
      </c>
      <c r="H1936" t="str">
        <f t="shared" si="597"/>
        <v>00</v>
      </c>
      <c r="I1936" t="str">
        <f t="shared" si="598"/>
        <v>0</v>
      </c>
      <c r="J1936" t="str">
        <f t="shared" si="594"/>
        <v>00</v>
      </c>
      <c r="K1936">
        <v>20140930</v>
      </c>
      <c r="L1936" t="str">
        <f t="shared" si="603"/>
        <v>IRS09</v>
      </c>
      <c r="M1936" t="str">
        <f t="shared" si="602"/>
        <v>00168</v>
      </c>
      <c r="N1936" t="s">
        <v>975</v>
      </c>
      <c r="O1936" s="1">
        <v>2866.55</v>
      </c>
      <c r="Q1936" t="s">
        <v>33</v>
      </c>
      <c r="R1936" t="s">
        <v>34</v>
      </c>
      <c r="S1936" t="s">
        <v>35</v>
      </c>
      <c r="T1936" t="s">
        <v>35</v>
      </c>
      <c r="U1936" t="s">
        <v>34</v>
      </c>
      <c r="V1936" t="str">
        <f>""</f>
        <v/>
      </c>
      <c r="W1936">
        <v>20140930</v>
      </c>
      <c r="X1936" t="s">
        <v>978</v>
      </c>
      <c r="Y1936" t="s">
        <v>986</v>
      </c>
      <c r="Z1936" t="s">
        <v>986</v>
      </c>
      <c r="AA1936">
        <v>0</v>
      </c>
      <c r="AB1936" t="s">
        <v>142</v>
      </c>
      <c r="AC1936" t="s">
        <v>39</v>
      </c>
      <c r="AD1936" t="s">
        <v>144</v>
      </c>
      <c r="AE1936" t="str">
        <f>"09"</f>
        <v>09</v>
      </c>
      <c r="AF1936" t="s">
        <v>40</v>
      </c>
    </row>
    <row r="1937" spans="1:32" x14ac:dyDescent="0.25">
      <c r="A1937">
        <v>5</v>
      </c>
      <c r="B1937">
        <v>420</v>
      </c>
      <c r="C1937" t="str">
        <f t="shared" si="596"/>
        <v>00</v>
      </c>
      <c r="D1937">
        <v>2152</v>
      </c>
      <c r="E1937" t="str">
        <f>"02"</f>
        <v>02</v>
      </c>
      <c r="F1937" t="str">
        <f t="shared" si="601"/>
        <v>000</v>
      </c>
      <c r="G1937">
        <v>5</v>
      </c>
      <c r="H1937" t="str">
        <f t="shared" si="597"/>
        <v>00</v>
      </c>
      <c r="I1937" t="str">
        <f t="shared" si="598"/>
        <v>0</v>
      </c>
      <c r="J1937" t="str">
        <f t="shared" si="594"/>
        <v>00</v>
      </c>
      <c r="K1937">
        <v>20140930</v>
      </c>
      <c r="L1937" t="str">
        <f t="shared" si="603"/>
        <v>IRS09</v>
      </c>
      <c r="M1937" t="str">
        <f t="shared" si="602"/>
        <v>00168</v>
      </c>
      <c r="N1937" t="s">
        <v>975</v>
      </c>
      <c r="O1937" s="1">
        <v>2866.55</v>
      </c>
      <c r="Q1937" t="s">
        <v>33</v>
      </c>
      <c r="R1937" t="s">
        <v>34</v>
      </c>
      <c r="S1937" t="s">
        <v>35</v>
      </c>
      <c r="T1937" t="s">
        <v>35</v>
      </c>
      <c r="U1937" t="s">
        <v>34</v>
      </c>
      <c r="V1937" t="str">
        <f>""</f>
        <v/>
      </c>
      <c r="W1937">
        <v>20140930</v>
      </c>
      <c r="X1937" t="s">
        <v>979</v>
      </c>
      <c r="Y1937" t="s">
        <v>986</v>
      </c>
      <c r="Z1937" t="s">
        <v>986</v>
      </c>
      <c r="AA1937">
        <v>0</v>
      </c>
      <c r="AB1937" t="s">
        <v>142</v>
      </c>
      <c r="AC1937" t="s">
        <v>39</v>
      </c>
      <c r="AD1937" t="s">
        <v>144</v>
      </c>
      <c r="AE1937" t="str">
        <f>"09"</f>
        <v>09</v>
      </c>
      <c r="AF1937" t="s">
        <v>40</v>
      </c>
    </row>
    <row r="1938" spans="1:32" x14ac:dyDescent="0.25">
      <c r="A1938">
        <v>5</v>
      </c>
      <c r="B1938">
        <v>420</v>
      </c>
      <c r="C1938" t="str">
        <f t="shared" si="596"/>
        <v>00</v>
      </c>
      <c r="D1938">
        <v>2151</v>
      </c>
      <c r="E1938" t="str">
        <f>"00"</f>
        <v>00</v>
      </c>
      <c r="F1938" t="str">
        <f t="shared" si="601"/>
        <v>000</v>
      </c>
      <c r="G1938">
        <v>5</v>
      </c>
      <c r="H1938" t="str">
        <f t="shared" si="597"/>
        <v>00</v>
      </c>
      <c r="I1938" t="str">
        <f t="shared" si="598"/>
        <v>0</v>
      </c>
      <c r="J1938" t="str">
        <f t="shared" si="594"/>
        <v>00</v>
      </c>
      <c r="K1938">
        <v>20141002</v>
      </c>
      <c r="L1938" t="str">
        <f t="shared" si="603"/>
        <v>IRS09</v>
      </c>
      <c r="M1938" t="str">
        <f t="shared" si="602"/>
        <v>00168</v>
      </c>
      <c r="N1938" t="s">
        <v>975</v>
      </c>
      <c r="O1938" s="1">
        <v>15831.68</v>
      </c>
      <c r="Q1938" t="s">
        <v>33</v>
      </c>
      <c r="R1938" t="s">
        <v>34</v>
      </c>
      <c r="S1938" t="s">
        <v>35</v>
      </c>
      <c r="T1938" t="s">
        <v>35</v>
      </c>
      <c r="U1938" t="s">
        <v>34</v>
      </c>
      <c r="V1938" t="str">
        <f>""</f>
        <v/>
      </c>
      <c r="W1938">
        <v>20141002</v>
      </c>
      <c r="X1938" t="s">
        <v>976</v>
      </c>
      <c r="Y1938" t="s">
        <v>987</v>
      </c>
      <c r="Z1938" t="s">
        <v>987</v>
      </c>
      <c r="AA1938">
        <v>0</v>
      </c>
      <c r="AB1938" t="s">
        <v>142</v>
      </c>
      <c r="AC1938" t="s">
        <v>39</v>
      </c>
      <c r="AD1938" t="s">
        <v>144</v>
      </c>
      <c r="AE1938" t="str">
        <f t="shared" ref="AE1938:AE1943" si="604">"10"</f>
        <v>10</v>
      </c>
      <c r="AF1938" t="s">
        <v>40</v>
      </c>
    </row>
    <row r="1939" spans="1:32" x14ac:dyDescent="0.25">
      <c r="A1939">
        <v>5</v>
      </c>
      <c r="B1939">
        <v>420</v>
      </c>
      <c r="C1939" t="str">
        <f t="shared" si="596"/>
        <v>00</v>
      </c>
      <c r="D1939">
        <v>2152</v>
      </c>
      <c r="E1939" t="str">
        <f>"01"</f>
        <v>01</v>
      </c>
      <c r="F1939" t="str">
        <f t="shared" si="601"/>
        <v>000</v>
      </c>
      <c r="G1939">
        <v>5</v>
      </c>
      <c r="H1939" t="str">
        <f t="shared" si="597"/>
        <v>00</v>
      </c>
      <c r="I1939" t="str">
        <f t="shared" si="598"/>
        <v>0</v>
      </c>
      <c r="J1939" t="str">
        <f t="shared" si="594"/>
        <v>00</v>
      </c>
      <c r="K1939">
        <v>20141002</v>
      </c>
      <c r="L1939" t="str">
        <f t="shared" si="603"/>
        <v>IRS09</v>
      </c>
      <c r="M1939" t="str">
        <f t="shared" si="602"/>
        <v>00168</v>
      </c>
      <c r="N1939" t="s">
        <v>975</v>
      </c>
      <c r="O1939" s="1">
        <v>2866.55</v>
      </c>
      <c r="Q1939" t="s">
        <v>33</v>
      </c>
      <c r="R1939" t="s">
        <v>34</v>
      </c>
      <c r="S1939" t="s">
        <v>35</v>
      </c>
      <c r="T1939" t="s">
        <v>35</v>
      </c>
      <c r="U1939" t="s">
        <v>34</v>
      </c>
      <c r="V1939" t="str">
        <f>""</f>
        <v/>
      </c>
      <c r="W1939">
        <v>20141002</v>
      </c>
      <c r="X1939" t="s">
        <v>978</v>
      </c>
      <c r="Y1939" t="s">
        <v>987</v>
      </c>
      <c r="Z1939" t="s">
        <v>987</v>
      </c>
      <c r="AA1939">
        <v>0</v>
      </c>
      <c r="AB1939" t="s">
        <v>142</v>
      </c>
      <c r="AC1939" t="s">
        <v>39</v>
      </c>
      <c r="AD1939" t="s">
        <v>144</v>
      </c>
      <c r="AE1939" t="str">
        <f t="shared" si="604"/>
        <v>10</v>
      </c>
      <c r="AF1939" t="s">
        <v>40</v>
      </c>
    </row>
    <row r="1940" spans="1:32" x14ac:dyDescent="0.25">
      <c r="A1940">
        <v>5</v>
      </c>
      <c r="B1940">
        <v>420</v>
      </c>
      <c r="C1940" t="str">
        <f t="shared" si="596"/>
        <v>00</v>
      </c>
      <c r="D1940">
        <v>2152</v>
      </c>
      <c r="E1940" t="str">
        <f>"02"</f>
        <v>02</v>
      </c>
      <c r="F1940" t="str">
        <f t="shared" si="601"/>
        <v>000</v>
      </c>
      <c r="G1940">
        <v>5</v>
      </c>
      <c r="H1940" t="str">
        <f t="shared" si="597"/>
        <v>00</v>
      </c>
      <c r="I1940" t="str">
        <f t="shared" si="598"/>
        <v>0</v>
      </c>
      <c r="J1940" t="str">
        <f t="shared" si="594"/>
        <v>00</v>
      </c>
      <c r="K1940">
        <v>20141002</v>
      </c>
      <c r="L1940" t="str">
        <f t="shared" si="603"/>
        <v>IRS09</v>
      </c>
      <c r="M1940" t="str">
        <f t="shared" si="602"/>
        <v>00168</v>
      </c>
      <c r="N1940" t="s">
        <v>975</v>
      </c>
      <c r="O1940" s="1">
        <v>2866.55</v>
      </c>
      <c r="Q1940" t="s">
        <v>33</v>
      </c>
      <c r="R1940" t="s">
        <v>34</v>
      </c>
      <c r="S1940" t="s">
        <v>35</v>
      </c>
      <c r="T1940" t="s">
        <v>35</v>
      </c>
      <c r="U1940" t="s">
        <v>34</v>
      </c>
      <c r="V1940" t="str">
        <f>""</f>
        <v/>
      </c>
      <c r="W1940">
        <v>20141002</v>
      </c>
      <c r="X1940" t="s">
        <v>979</v>
      </c>
      <c r="Y1940" t="s">
        <v>987</v>
      </c>
      <c r="Z1940" t="s">
        <v>987</v>
      </c>
      <c r="AA1940">
        <v>0</v>
      </c>
      <c r="AB1940" t="s">
        <v>142</v>
      </c>
      <c r="AC1940" t="s">
        <v>39</v>
      </c>
      <c r="AD1940" t="s">
        <v>144</v>
      </c>
      <c r="AE1940" t="str">
        <f t="shared" si="604"/>
        <v>10</v>
      </c>
      <c r="AF1940" t="s">
        <v>40</v>
      </c>
    </row>
    <row r="1941" spans="1:32" x14ac:dyDescent="0.25">
      <c r="A1941">
        <v>5</v>
      </c>
      <c r="B1941">
        <v>420</v>
      </c>
      <c r="C1941" t="str">
        <f t="shared" si="596"/>
        <v>00</v>
      </c>
      <c r="D1941">
        <v>2151</v>
      </c>
      <c r="E1941" t="str">
        <f>"00"</f>
        <v>00</v>
      </c>
      <c r="F1941" t="str">
        <f t="shared" si="601"/>
        <v>000</v>
      </c>
      <c r="G1941">
        <v>5</v>
      </c>
      <c r="H1941" t="str">
        <f t="shared" si="597"/>
        <v>00</v>
      </c>
      <c r="I1941" t="str">
        <f t="shared" si="598"/>
        <v>0</v>
      </c>
      <c r="J1941" t="str">
        <f t="shared" si="594"/>
        <v>00</v>
      </c>
      <c r="K1941">
        <v>20141030</v>
      </c>
      <c r="L1941" t="str">
        <f>"IRS10B"</f>
        <v>IRS10B</v>
      </c>
      <c r="M1941" t="str">
        <f t="shared" si="602"/>
        <v>00168</v>
      </c>
      <c r="N1941" t="s">
        <v>975</v>
      </c>
      <c r="O1941" s="1">
        <v>12410.05</v>
      </c>
      <c r="Q1941" t="s">
        <v>33</v>
      </c>
      <c r="R1941" t="s">
        <v>34</v>
      </c>
      <c r="S1941" t="s">
        <v>35</v>
      </c>
      <c r="T1941" t="s">
        <v>35</v>
      </c>
      <c r="U1941" t="s">
        <v>34</v>
      </c>
      <c r="V1941" t="str">
        <f>""</f>
        <v/>
      </c>
      <c r="W1941">
        <v>20141030</v>
      </c>
      <c r="X1941" t="s">
        <v>976</v>
      </c>
      <c r="Y1941" t="s">
        <v>987</v>
      </c>
      <c r="Z1941" t="s">
        <v>987</v>
      </c>
      <c r="AA1941">
        <v>0</v>
      </c>
      <c r="AB1941" t="s">
        <v>142</v>
      </c>
      <c r="AC1941" t="s">
        <v>39</v>
      </c>
      <c r="AD1941" t="s">
        <v>144</v>
      </c>
      <c r="AE1941" t="str">
        <f t="shared" si="604"/>
        <v>10</v>
      </c>
      <c r="AF1941" t="s">
        <v>40</v>
      </c>
    </row>
    <row r="1942" spans="1:32" x14ac:dyDescent="0.25">
      <c r="A1942">
        <v>5</v>
      </c>
      <c r="B1942">
        <v>420</v>
      </c>
      <c r="C1942" t="str">
        <f t="shared" si="596"/>
        <v>00</v>
      </c>
      <c r="D1942">
        <v>2152</v>
      </c>
      <c r="E1942" t="str">
        <f>"01"</f>
        <v>01</v>
      </c>
      <c r="F1942" t="str">
        <f t="shared" si="601"/>
        <v>000</v>
      </c>
      <c r="G1942">
        <v>5</v>
      </c>
      <c r="H1942" t="str">
        <f t="shared" si="597"/>
        <v>00</v>
      </c>
      <c r="I1942" t="str">
        <f t="shared" si="598"/>
        <v>0</v>
      </c>
      <c r="J1942" t="str">
        <f t="shared" si="594"/>
        <v>00</v>
      </c>
      <c r="K1942">
        <v>20141030</v>
      </c>
      <c r="L1942" t="str">
        <f>"IRS10B"</f>
        <v>IRS10B</v>
      </c>
      <c r="M1942" t="str">
        <f t="shared" si="602"/>
        <v>00168</v>
      </c>
      <c r="N1942" t="s">
        <v>975</v>
      </c>
      <c r="O1942" s="1">
        <v>2465.0100000000002</v>
      </c>
      <c r="Q1942" t="s">
        <v>33</v>
      </c>
      <c r="R1942" t="s">
        <v>34</v>
      </c>
      <c r="S1942" t="s">
        <v>35</v>
      </c>
      <c r="T1942" t="s">
        <v>35</v>
      </c>
      <c r="U1942" t="s">
        <v>34</v>
      </c>
      <c r="V1942" t="str">
        <f>""</f>
        <v/>
      </c>
      <c r="W1942">
        <v>20141030</v>
      </c>
      <c r="X1942" t="s">
        <v>978</v>
      </c>
      <c r="Y1942" t="s">
        <v>987</v>
      </c>
      <c r="Z1942" t="s">
        <v>987</v>
      </c>
      <c r="AA1942">
        <v>0</v>
      </c>
      <c r="AB1942" t="s">
        <v>142</v>
      </c>
      <c r="AC1942" t="s">
        <v>39</v>
      </c>
      <c r="AD1942" t="s">
        <v>144</v>
      </c>
      <c r="AE1942" t="str">
        <f t="shared" si="604"/>
        <v>10</v>
      </c>
      <c r="AF1942" t="s">
        <v>40</v>
      </c>
    </row>
    <row r="1943" spans="1:32" x14ac:dyDescent="0.25">
      <c r="A1943">
        <v>5</v>
      </c>
      <c r="B1943">
        <v>420</v>
      </c>
      <c r="C1943" t="str">
        <f t="shared" si="596"/>
        <v>00</v>
      </c>
      <c r="D1943">
        <v>2152</v>
      </c>
      <c r="E1943" t="str">
        <f>"02"</f>
        <v>02</v>
      </c>
      <c r="F1943" t="str">
        <f t="shared" si="601"/>
        <v>000</v>
      </c>
      <c r="G1943">
        <v>5</v>
      </c>
      <c r="H1943" t="str">
        <f t="shared" si="597"/>
        <v>00</v>
      </c>
      <c r="I1943" t="str">
        <f t="shared" si="598"/>
        <v>0</v>
      </c>
      <c r="J1943" t="str">
        <f t="shared" si="594"/>
        <v>00</v>
      </c>
      <c r="K1943">
        <v>20141030</v>
      </c>
      <c r="L1943" t="str">
        <f>"IRS10B"</f>
        <v>IRS10B</v>
      </c>
      <c r="M1943" t="str">
        <f t="shared" si="602"/>
        <v>00168</v>
      </c>
      <c r="N1943" t="s">
        <v>975</v>
      </c>
      <c r="O1943" s="1">
        <v>2465.0100000000002</v>
      </c>
      <c r="Q1943" t="s">
        <v>33</v>
      </c>
      <c r="R1943" t="s">
        <v>34</v>
      </c>
      <c r="S1943" t="s">
        <v>35</v>
      </c>
      <c r="T1943" t="s">
        <v>35</v>
      </c>
      <c r="U1943" t="s">
        <v>34</v>
      </c>
      <c r="V1943" t="str">
        <f>""</f>
        <v/>
      </c>
      <c r="W1943">
        <v>20141030</v>
      </c>
      <c r="X1943" t="s">
        <v>979</v>
      </c>
      <c r="Y1943" t="s">
        <v>987</v>
      </c>
      <c r="Z1943" t="s">
        <v>987</v>
      </c>
      <c r="AA1943">
        <v>0</v>
      </c>
      <c r="AB1943" t="s">
        <v>142</v>
      </c>
      <c r="AC1943" t="s">
        <v>39</v>
      </c>
      <c r="AD1943" t="s">
        <v>144</v>
      </c>
      <c r="AE1943" t="str">
        <f t="shared" si="604"/>
        <v>10</v>
      </c>
      <c r="AF1943" t="s">
        <v>40</v>
      </c>
    </row>
    <row r="1944" spans="1:32" x14ac:dyDescent="0.25">
      <c r="A1944">
        <v>5</v>
      </c>
      <c r="B1944">
        <v>420</v>
      </c>
      <c r="C1944" t="str">
        <f t="shared" si="596"/>
        <v>00</v>
      </c>
      <c r="D1944">
        <v>2151</v>
      </c>
      <c r="E1944" t="str">
        <f>"00"</f>
        <v>00</v>
      </c>
      <c r="F1944" t="str">
        <f t="shared" si="601"/>
        <v>000</v>
      </c>
      <c r="G1944">
        <v>5</v>
      </c>
      <c r="H1944" t="str">
        <f t="shared" si="597"/>
        <v>00</v>
      </c>
      <c r="I1944" t="str">
        <f t="shared" si="598"/>
        <v>0</v>
      </c>
      <c r="J1944" t="str">
        <f t="shared" si="594"/>
        <v>00</v>
      </c>
      <c r="K1944">
        <v>20141120</v>
      </c>
      <c r="L1944" t="str">
        <f>"IRS11A"</f>
        <v>IRS11A</v>
      </c>
      <c r="M1944" t="str">
        <f t="shared" si="602"/>
        <v>00168</v>
      </c>
      <c r="N1944" t="s">
        <v>975</v>
      </c>
      <c r="O1944">
        <v>67.900000000000006</v>
      </c>
      <c r="Q1944" t="s">
        <v>33</v>
      </c>
      <c r="R1944" t="s">
        <v>34</v>
      </c>
      <c r="S1944" t="s">
        <v>35</v>
      </c>
      <c r="T1944" t="s">
        <v>35</v>
      </c>
      <c r="U1944" t="s">
        <v>34</v>
      </c>
      <c r="V1944" t="str">
        <f>""</f>
        <v/>
      </c>
      <c r="W1944">
        <v>20141120</v>
      </c>
      <c r="X1944" t="s">
        <v>976</v>
      </c>
      <c r="Y1944" t="s">
        <v>988</v>
      </c>
      <c r="Z1944" t="s">
        <v>988</v>
      </c>
      <c r="AA1944">
        <v>0</v>
      </c>
      <c r="AB1944" t="s">
        <v>142</v>
      </c>
      <c r="AC1944" t="s">
        <v>39</v>
      </c>
      <c r="AD1944" t="s">
        <v>144</v>
      </c>
      <c r="AE1944" t="str">
        <f t="shared" ref="AE1944:AE1949" si="605">"11"</f>
        <v>11</v>
      </c>
      <c r="AF1944" t="s">
        <v>40</v>
      </c>
    </row>
    <row r="1945" spans="1:32" x14ac:dyDescent="0.25">
      <c r="A1945">
        <v>5</v>
      </c>
      <c r="B1945">
        <v>420</v>
      </c>
      <c r="C1945" t="str">
        <f t="shared" si="596"/>
        <v>00</v>
      </c>
      <c r="D1945">
        <v>2152</v>
      </c>
      <c r="E1945" t="str">
        <f>"01"</f>
        <v>01</v>
      </c>
      <c r="F1945" t="str">
        <f t="shared" si="601"/>
        <v>000</v>
      </c>
      <c r="G1945">
        <v>5</v>
      </c>
      <c r="H1945" t="str">
        <f t="shared" si="597"/>
        <v>00</v>
      </c>
      <c r="I1945" t="str">
        <f t="shared" si="598"/>
        <v>0</v>
      </c>
      <c r="J1945" t="str">
        <f t="shared" si="594"/>
        <v>00</v>
      </c>
      <c r="K1945">
        <v>20141120</v>
      </c>
      <c r="L1945" t="str">
        <f>"IRS11A"</f>
        <v>IRS11A</v>
      </c>
      <c r="M1945" t="str">
        <f t="shared" si="602"/>
        <v>00168</v>
      </c>
      <c r="N1945" t="s">
        <v>975</v>
      </c>
      <c r="O1945">
        <v>41.16</v>
      </c>
      <c r="Q1945" t="s">
        <v>33</v>
      </c>
      <c r="R1945" t="s">
        <v>34</v>
      </c>
      <c r="S1945" t="s">
        <v>35</v>
      </c>
      <c r="T1945" t="s">
        <v>35</v>
      </c>
      <c r="U1945" t="s">
        <v>34</v>
      </c>
      <c r="V1945" t="str">
        <f>""</f>
        <v/>
      </c>
      <c r="W1945">
        <v>20141120</v>
      </c>
      <c r="X1945" t="s">
        <v>978</v>
      </c>
      <c r="Y1945" t="s">
        <v>988</v>
      </c>
      <c r="Z1945" t="s">
        <v>988</v>
      </c>
      <c r="AA1945">
        <v>0</v>
      </c>
      <c r="AB1945" t="s">
        <v>142</v>
      </c>
      <c r="AC1945" t="s">
        <v>39</v>
      </c>
      <c r="AD1945" t="s">
        <v>144</v>
      </c>
      <c r="AE1945" t="str">
        <f t="shared" si="605"/>
        <v>11</v>
      </c>
      <c r="AF1945" t="s">
        <v>40</v>
      </c>
    </row>
    <row r="1946" spans="1:32" x14ac:dyDescent="0.25">
      <c r="A1946">
        <v>5</v>
      </c>
      <c r="B1946">
        <v>420</v>
      </c>
      <c r="C1946" t="str">
        <f t="shared" si="596"/>
        <v>00</v>
      </c>
      <c r="D1946">
        <v>2152</v>
      </c>
      <c r="E1946" t="str">
        <f>"02"</f>
        <v>02</v>
      </c>
      <c r="F1946" t="str">
        <f t="shared" si="601"/>
        <v>000</v>
      </c>
      <c r="G1946">
        <v>5</v>
      </c>
      <c r="H1946" t="str">
        <f t="shared" si="597"/>
        <v>00</v>
      </c>
      <c r="I1946" t="str">
        <f t="shared" si="598"/>
        <v>0</v>
      </c>
      <c r="J1946" t="str">
        <f t="shared" si="594"/>
        <v>00</v>
      </c>
      <c r="K1946">
        <v>20141120</v>
      </c>
      <c r="L1946" t="str">
        <f>"IRS11A"</f>
        <v>IRS11A</v>
      </c>
      <c r="M1946" t="str">
        <f t="shared" si="602"/>
        <v>00168</v>
      </c>
      <c r="N1946" t="s">
        <v>975</v>
      </c>
      <c r="O1946">
        <v>41.16</v>
      </c>
      <c r="Q1946" t="s">
        <v>33</v>
      </c>
      <c r="R1946" t="s">
        <v>34</v>
      </c>
      <c r="S1946" t="s">
        <v>35</v>
      </c>
      <c r="T1946" t="s">
        <v>35</v>
      </c>
      <c r="U1946" t="s">
        <v>34</v>
      </c>
      <c r="V1946" t="str">
        <f>""</f>
        <v/>
      </c>
      <c r="W1946">
        <v>20141120</v>
      </c>
      <c r="X1946" t="s">
        <v>979</v>
      </c>
      <c r="Y1946" t="s">
        <v>988</v>
      </c>
      <c r="Z1946" t="s">
        <v>988</v>
      </c>
      <c r="AA1946">
        <v>0</v>
      </c>
      <c r="AB1946" t="s">
        <v>142</v>
      </c>
      <c r="AC1946" t="s">
        <v>39</v>
      </c>
      <c r="AD1946" t="s">
        <v>144</v>
      </c>
      <c r="AE1946" t="str">
        <f t="shared" si="605"/>
        <v>11</v>
      </c>
      <c r="AF1946" t="s">
        <v>40</v>
      </c>
    </row>
    <row r="1947" spans="1:32" x14ac:dyDescent="0.25">
      <c r="A1947">
        <v>5</v>
      </c>
      <c r="B1947">
        <v>420</v>
      </c>
      <c r="C1947" t="str">
        <f t="shared" si="596"/>
        <v>00</v>
      </c>
      <c r="D1947">
        <v>2151</v>
      </c>
      <c r="E1947" t="str">
        <f>"00"</f>
        <v>00</v>
      </c>
      <c r="F1947" t="str">
        <f t="shared" si="601"/>
        <v>000</v>
      </c>
      <c r="G1947">
        <v>5</v>
      </c>
      <c r="H1947" t="str">
        <f t="shared" si="597"/>
        <v>00</v>
      </c>
      <c r="I1947" t="str">
        <f t="shared" si="598"/>
        <v>0</v>
      </c>
      <c r="J1947" t="str">
        <f t="shared" si="594"/>
        <v>00</v>
      </c>
      <c r="K1947">
        <v>20141128</v>
      </c>
      <c r="L1947" t="str">
        <f>"IRS11B"</f>
        <v>IRS11B</v>
      </c>
      <c r="M1947" t="str">
        <f t="shared" si="602"/>
        <v>00168</v>
      </c>
      <c r="N1947" t="s">
        <v>975</v>
      </c>
      <c r="O1947" s="1">
        <v>16999.82</v>
      </c>
      <c r="Q1947" t="s">
        <v>33</v>
      </c>
      <c r="R1947" t="s">
        <v>34</v>
      </c>
      <c r="S1947" t="s">
        <v>35</v>
      </c>
      <c r="T1947" t="s">
        <v>35</v>
      </c>
      <c r="U1947" t="s">
        <v>34</v>
      </c>
      <c r="V1947" t="str">
        <f>""</f>
        <v/>
      </c>
      <c r="W1947">
        <v>20141128</v>
      </c>
      <c r="X1947" t="s">
        <v>976</v>
      </c>
      <c r="Y1947" t="s">
        <v>988</v>
      </c>
      <c r="Z1947" t="s">
        <v>988</v>
      </c>
      <c r="AA1947">
        <v>0</v>
      </c>
      <c r="AB1947" t="s">
        <v>142</v>
      </c>
      <c r="AC1947" t="s">
        <v>39</v>
      </c>
      <c r="AD1947" t="s">
        <v>144</v>
      </c>
      <c r="AE1947" t="str">
        <f t="shared" si="605"/>
        <v>11</v>
      </c>
      <c r="AF1947" t="s">
        <v>40</v>
      </c>
    </row>
    <row r="1948" spans="1:32" x14ac:dyDescent="0.25">
      <c r="A1948">
        <v>5</v>
      </c>
      <c r="B1948">
        <v>420</v>
      </c>
      <c r="C1948" t="str">
        <f t="shared" si="596"/>
        <v>00</v>
      </c>
      <c r="D1948">
        <v>2152</v>
      </c>
      <c r="E1948" t="str">
        <f>"01"</f>
        <v>01</v>
      </c>
      <c r="F1948" t="str">
        <f t="shared" si="601"/>
        <v>000</v>
      </c>
      <c r="G1948">
        <v>5</v>
      </c>
      <c r="H1948" t="str">
        <f t="shared" si="597"/>
        <v>00</v>
      </c>
      <c r="I1948" t="str">
        <f t="shared" si="598"/>
        <v>0</v>
      </c>
      <c r="J1948" t="str">
        <f t="shared" si="594"/>
        <v>00</v>
      </c>
      <c r="K1948">
        <v>20141128</v>
      </c>
      <c r="L1948" t="str">
        <f>"IRS11B"</f>
        <v>IRS11B</v>
      </c>
      <c r="M1948" t="str">
        <f t="shared" si="602"/>
        <v>00168</v>
      </c>
      <c r="N1948" t="s">
        <v>975</v>
      </c>
      <c r="O1948" s="1">
        <v>3250.28</v>
      </c>
      <c r="Q1948" t="s">
        <v>33</v>
      </c>
      <c r="R1948" t="s">
        <v>34</v>
      </c>
      <c r="S1948" t="s">
        <v>35</v>
      </c>
      <c r="T1948" t="s">
        <v>35</v>
      </c>
      <c r="U1948" t="s">
        <v>34</v>
      </c>
      <c r="V1948" t="str">
        <f>""</f>
        <v/>
      </c>
      <c r="W1948">
        <v>20141128</v>
      </c>
      <c r="X1948" t="s">
        <v>978</v>
      </c>
      <c r="Y1948" t="s">
        <v>988</v>
      </c>
      <c r="Z1948" t="s">
        <v>988</v>
      </c>
      <c r="AA1948">
        <v>0</v>
      </c>
      <c r="AB1948" t="s">
        <v>142</v>
      </c>
      <c r="AC1948" t="s">
        <v>39</v>
      </c>
      <c r="AD1948" t="s">
        <v>144</v>
      </c>
      <c r="AE1948" t="str">
        <f t="shared" si="605"/>
        <v>11</v>
      </c>
      <c r="AF1948" t="s">
        <v>40</v>
      </c>
    </row>
    <row r="1949" spans="1:32" x14ac:dyDescent="0.25">
      <c r="A1949">
        <v>5</v>
      </c>
      <c r="B1949">
        <v>420</v>
      </c>
      <c r="C1949" t="str">
        <f t="shared" si="596"/>
        <v>00</v>
      </c>
      <c r="D1949">
        <v>2152</v>
      </c>
      <c r="E1949" t="str">
        <f>"02"</f>
        <v>02</v>
      </c>
      <c r="F1949" t="str">
        <f t="shared" si="601"/>
        <v>000</v>
      </c>
      <c r="G1949">
        <v>5</v>
      </c>
      <c r="H1949" t="str">
        <f t="shared" si="597"/>
        <v>00</v>
      </c>
      <c r="I1949" t="str">
        <f t="shared" si="598"/>
        <v>0</v>
      </c>
      <c r="J1949" t="str">
        <f t="shared" si="594"/>
        <v>00</v>
      </c>
      <c r="K1949">
        <v>20141128</v>
      </c>
      <c r="L1949" t="str">
        <f>"IRS11B"</f>
        <v>IRS11B</v>
      </c>
      <c r="M1949" t="str">
        <f t="shared" si="602"/>
        <v>00168</v>
      </c>
      <c r="N1949" t="s">
        <v>975</v>
      </c>
      <c r="O1949" s="1">
        <v>3250.28</v>
      </c>
      <c r="Q1949" t="s">
        <v>33</v>
      </c>
      <c r="R1949" t="s">
        <v>34</v>
      </c>
      <c r="S1949" t="s">
        <v>35</v>
      </c>
      <c r="T1949" t="s">
        <v>35</v>
      </c>
      <c r="U1949" t="s">
        <v>34</v>
      </c>
      <c r="V1949" t="str">
        <f>""</f>
        <v/>
      </c>
      <c r="W1949">
        <v>20141128</v>
      </c>
      <c r="X1949" t="s">
        <v>979</v>
      </c>
      <c r="Y1949" t="s">
        <v>988</v>
      </c>
      <c r="Z1949" t="s">
        <v>988</v>
      </c>
      <c r="AA1949">
        <v>0</v>
      </c>
      <c r="AB1949" t="s">
        <v>142</v>
      </c>
      <c r="AC1949" t="s">
        <v>39</v>
      </c>
      <c r="AD1949" t="s">
        <v>144</v>
      </c>
      <c r="AE1949" t="str">
        <f t="shared" si="605"/>
        <v>11</v>
      </c>
      <c r="AF1949" t="s">
        <v>40</v>
      </c>
    </row>
    <row r="1950" spans="1:32" x14ac:dyDescent="0.25">
      <c r="A1950">
        <v>5</v>
      </c>
      <c r="B1950">
        <v>420</v>
      </c>
      <c r="C1950" t="str">
        <f t="shared" ref="C1950:C1981" si="606">"00"</f>
        <v>00</v>
      </c>
      <c r="D1950">
        <v>2151</v>
      </c>
      <c r="E1950" t="str">
        <f>"00"</f>
        <v>00</v>
      </c>
      <c r="F1950" t="str">
        <f t="shared" si="601"/>
        <v>000</v>
      </c>
      <c r="G1950">
        <v>5</v>
      </c>
      <c r="H1950" t="str">
        <f t="shared" ref="H1950:H1981" si="607">"00"</f>
        <v>00</v>
      </c>
      <c r="I1950" t="str">
        <f t="shared" si="598"/>
        <v>0</v>
      </c>
      <c r="J1950" t="str">
        <f t="shared" si="594"/>
        <v>00</v>
      </c>
      <c r="K1950">
        <v>20141202</v>
      </c>
      <c r="L1950" t="str">
        <f>"IRS12A"</f>
        <v>IRS12A</v>
      </c>
      <c r="M1950" t="str">
        <f t="shared" si="602"/>
        <v>00168</v>
      </c>
      <c r="N1950" t="s">
        <v>975</v>
      </c>
      <c r="O1950">
        <v>320.04000000000002</v>
      </c>
      <c r="Q1950" t="s">
        <v>33</v>
      </c>
      <c r="R1950" t="s">
        <v>34</v>
      </c>
      <c r="S1950" t="s">
        <v>35</v>
      </c>
      <c r="T1950" t="s">
        <v>35</v>
      </c>
      <c r="U1950" t="s">
        <v>34</v>
      </c>
      <c r="V1950" t="str">
        <f>""</f>
        <v/>
      </c>
      <c r="W1950">
        <v>20141202</v>
      </c>
      <c r="X1950" t="s">
        <v>976</v>
      </c>
      <c r="Y1950" t="s">
        <v>989</v>
      </c>
      <c r="Z1950" t="s">
        <v>989</v>
      </c>
      <c r="AA1950">
        <v>0</v>
      </c>
      <c r="AB1950" t="s">
        <v>142</v>
      </c>
      <c r="AC1950" t="s">
        <v>39</v>
      </c>
      <c r="AD1950" t="s">
        <v>144</v>
      </c>
      <c r="AE1950" t="str">
        <f t="shared" ref="AE1950:AE1963" si="608">"12"</f>
        <v>12</v>
      </c>
      <c r="AF1950" t="s">
        <v>40</v>
      </c>
    </row>
    <row r="1951" spans="1:32" x14ac:dyDescent="0.25">
      <c r="A1951">
        <v>5</v>
      </c>
      <c r="B1951">
        <v>420</v>
      </c>
      <c r="C1951" t="str">
        <f t="shared" si="606"/>
        <v>00</v>
      </c>
      <c r="D1951">
        <v>2152</v>
      </c>
      <c r="E1951" t="str">
        <f>"01"</f>
        <v>01</v>
      </c>
      <c r="F1951" t="str">
        <f t="shared" si="601"/>
        <v>000</v>
      </c>
      <c r="G1951">
        <v>5</v>
      </c>
      <c r="H1951" t="str">
        <f t="shared" si="607"/>
        <v>00</v>
      </c>
      <c r="I1951" t="str">
        <f t="shared" si="598"/>
        <v>0</v>
      </c>
      <c r="J1951" t="str">
        <f t="shared" si="594"/>
        <v>00</v>
      </c>
      <c r="K1951">
        <v>20141202</v>
      </c>
      <c r="L1951" t="str">
        <f>"IRS12A"</f>
        <v>IRS12A</v>
      </c>
      <c r="M1951" t="str">
        <f t="shared" si="602"/>
        <v>00168</v>
      </c>
      <c r="N1951" t="s">
        <v>975</v>
      </c>
      <c r="O1951">
        <v>40.380000000000003</v>
      </c>
      <c r="Q1951" t="s">
        <v>33</v>
      </c>
      <c r="R1951" t="s">
        <v>34</v>
      </c>
      <c r="S1951" t="s">
        <v>35</v>
      </c>
      <c r="T1951" t="s">
        <v>35</v>
      </c>
      <c r="U1951" t="s">
        <v>34</v>
      </c>
      <c r="V1951" t="str">
        <f>""</f>
        <v/>
      </c>
      <c r="W1951">
        <v>20141202</v>
      </c>
      <c r="X1951" t="s">
        <v>978</v>
      </c>
      <c r="Y1951" t="s">
        <v>989</v>
      </c>
      <c r="Z1951" t="s">
        <v>989</v>
      </c>
      <c r="AA1951">
        <v>0</v>
      </c>
      <c r="AB1951" t="s">
        <v>142</v>
      </c>
      <c r="AC1951" t="s">
        <v>39</v>
      </c>
      <c r="AD1951" t="s">
        <v>144</v>
      </c>
      <c r="AE1951" t="str">
        <f t="shared" si="608"/>
        <v>12</v>
      </c>
      <c r="AF1951" t="s">
        <v>40</v>
      </c>
    </row>
    <row r="1952" spans="1:32" x14ac:dyDescent="0.25">
      <c r="A1952">
        <v>5</v>
      </c>
      <c r="B1952">
        <v>420</v>
      </c>
      <c r="C1952" t="str">
        <f t="shared" si="606"/>
        <v>00</v>
      </c>
      <c r="D1952">
        <v>2152</v>
      </c>
      <c r="E1952" t="str">
        <f>"02"</f>
        <v>02</v>
      </c>
      <c r="F1952" t="str">
        <f t="shared" si="601"/>
        <v>000</v>
      </c>
      <c r="G1952">
        <v>5</v>
      </c>
      <c r="H1952" t="str">
        <f t="shared" si="607"/>
        <v>00</v>
      </c>
      <c r="I1952" t="str">
        <f t="shared" si="598"/>
        <v>0</v>
      </c>
      <c r="J1952" t="str">
        <f t="shared" si="594"/>
        <v>00</v>
      </c>
      <c r="K1952">
        <v>20141202</v>
      </c>
      <c r="L1952" t="str">
        <f>"IRS12A"</f>
        <v>IRS12A</v>
      </c>
      <c r="M1952" t="str">
        <f t="shared" si="602"/>
        <v>00168</v>
      </c>
      <c r="N1952" t="s">
        <v>975</v>
      </c>
      <c r="O1952">
        <v>40.380000000000003</v>
      </c>
      <c r="Q1952" t="s">
        <v>33</v>
      </c>
      <c r="R1952" t="s">
        <v>34</v>
      </c>
      <c r="S1952" t="s">
        <v>35</v>
      </c>
      <c r="T1952" t="s">
        <v>35</v>
      </c>
      <c r="U1952" t="s">
        <v>34</v>
      </c>
      <c r="V1952" t="str">
        <f>""</f>
        <v/>
      </c>
      <c r="W1952">
        <v>20141202</v>
      </c>
      <c r="X1952" t="s">
        <v>979</v>
      </c>
      <c r="Y1952" t="s">
        <v>989</v>
      </c>
      <c r="Z1952" t="s">
        <v>989</v>
      </c>
      <c r="AA1952">
        <v>0</v>
      </c>
      <c r="AB1952" t="s">
        <v>142</v>
      </c>
      <c r="AC1952" t="s">
        <v>39</v>
      </c>
      <c r="AD1952" t="s">
        <v>144</v>
      </c>
      <c r="AE1952" t="str">
        <f t="shared" si="608"/>
        <v>12</v>
      </c>
      <c r="AF1952" t="s">
        <v>40</v>
      </c>
    </row>
    <row r="1953" spans="1:32" x14ac:dyDescent="0.25">
      <c r="A1953">
        <v>5</v>
      </c>
      <c r="B1953">
        <v>420</v>
      </c>
      <c r="C1953" t="str">
        <f t="shared" si="606"/>
        <v>00</v>
      </c>
      <c r="D1953">
        <v>2152</v>
      </c>
      <c r="E1953" t="str">
        <f>"01"</f>
        <v>01</v>
      </c>
      <c r="F1953" t="str">
        <f t="shared" si="601"/>
        <v>000</v>
      </c>
      <c r="G1953">
        <v>5</v>
      </c>
      <c r="H1953" t="str">
        <f t="shared" si="607"/>
        <v>00</v>
      </c>
      <c r="I1953" t="str">
        <f t="shared" si="598"/>
        <v>0</v>
      </c>
      <c r="J1953" t="str">
        <f t="shared" si="594"/>
        <v>00</v>
      </c>
      <c r="K1953">
        <v>20141202</v>
      </c>
      <c r="L1953" t="str">
        <f>"IRS12B"</f>
        <v>IRS12B</v>
      </c>
      <c r="M1953" t="str">
        <f t="shared" si="602"/>
        <v>00168</v>
      </c>
      <c r="N1953" t="s">
        <v>975</v>
      </c>
      <c r="O1953">
        <v>2.13</v>
      </c>
      <c r="Q1953" t="s">
        <v>33</v>
      </c>
      <c r="R1953" t="s">
        <v>34</v>
      </c>
      <c r="S1953" t="s">
        <v>35</v>
      </c>
      <c r="T1953" t="s">
        <v>35</v>
      </c>
      <c r="U1953" t="s">
        <v>34</v>
      </c>
      <c r="V1953" t="str">
        <f>""</f>
        <v/>
      </c>
      <c r="W1953">
        <v>20141202</v>
      </c>
      <c r="X1953" t="s">
        <v>978</v>
      </c>
      <c r="Y1953" t="s">
        <v>989</v>
      </c>
      <c r="Z1953" t="s">
        <v>989</v>
      </c>
      <c r="AA1953">
        <v>0</v>
      </c>
      <c r="AB1953" t="s">
        <v>142</v>
      </c>
      <c r="AC1953" t="s">
        <v>39</v>
      </c>
      <c r="AD1953" t="s">
        <v>144</v>
      </c>
      <c r="AE1953" t="str">
        <f t="shared" si="608"/>
        <v>12</v>
      </c>
      <c r="AF1953" t="s">
        <v>40</v>
      </c>
    </row>
    <row r="1954" spans="1:32" x14ac:dyDescent="0.25">
      <c r="A1954">
        <v>5</v>
      </c>
      <c r="B1954">
        <v>420</v>
      </c>
      <c r="C1954" t="str">
        <f t="shared" si="606"/>
        <v>00</v>
      </c>
      <c r="D1954">
        <v>2152</v>
      </c>
      <c r="E1954" t="str">
        <f>"02"</f>
        <v>02</v>
      </c>
      <c r="F1954" t="str">
        <f t="shared" si="601"/>
        <v>000</v>
      </c>
      <c r="G1954">
        <v>5</v>
      </c>
      <c r="H1954" t="str">
        <f t="shared" si="607"/>
        <v>00</v>
      </c>
      <c r="I1954" t="str">
        <f t="shared" si="598"/>
        <v>0</v>
      </c>
      <c r="J1954" t="str">
        <f t="shared" si="594"/>
        <v>00</v>
      </c>
      <c r="K1954">
        <v>20141202</v>
      </c>
      <c r="L1954" t="str">
        <f>"IRS12B"</f>
        <v>IRS12B</v>
      </c>
      <c r="M1954" t="str">
        <f t="shared" si="602"/>
        <v>00168</v>
      </c>
      <c r="N1954" t="s">
        <v>975</v>
      </c>
      <c r="O1954">
        <v>2.13</v>
      </c>
      <c r="Q1954" t="s">
        <v>33</v>
      </c>
      <c r="R1954" t="s">
        <v>34</v>
      </c>
      <c r="S1954" t="s">
        <v>35</v>
      </c>
      <c r="T1954" t="s">
        <v>35</v>
      </c>
      <c r="U1954" t="s">
        <v>34</v>
      </c>
      <c r="V1954" t="str">
        <f>""</f>
        <v/>
      </c>
      <c r="W1954">
        <v>20141202</v>
      </c>
      <c r="X1954" t="s">
        <v>979</v>
      </c>
      <c r="Y1954" t="s">
        <v>989</v>
      </c>
      <c r="Z1954" t="s">
        <v>989</v>
      </c>
      <c r="AA1954">
        <v>0</v>
      </c>
      <c r="AB1954" t="s">
        <v>142</v>
      </c>
      <c r="AC1954" t="s">
        <v>39</v>
      </c>
      <c r="AD1954" t="s">
        <v>144</v>
      </c>
      <c r="AE1954" t="str">
        <f t="shared" si="608"/>
        <v>12</v>
      </c>
      <c r="AF1954" t="s">
        <v>40</v>
      </c>
    </row>
    <row r="1955" spans="1:32" x14ac:dyDescent="0.25">
      <c r="A1955">
        <v>5</v>
      </c>
      <c r="B1955">
        <v>420</v>
      </c>
      <c r="C1955" t="str">
        <f t="shared" si="606"/>
        <v>00</v>
      </c>
      <c r="D1955">
        <v>2151</v>
      </c>
      <c r="E1955" t="str">
        <f>"00"</f>
        <v>00</v>
      </c>
      <c r="F1955" t="str">
        <f t="shared" si="601"/>
        <v>000</v>
      </c>
      <c r="G1955">
        <v>5</v>
      </c>
      <c r="H1955" t="str">
        <f t="shared" si="607"/>
        <v>00</v>
      </c>
      <c r="I1955" t="str">
        <f t="shared" si="598"/>
        <v>0</v>
      </c>
      <c r="J1955" t="str">
        <f t="shared" si="594"/>
        <v>00</v>
      </c>
      <c r="K1955">
        <v>20141231</v>
      </c>
      <c r="L1955" t="str">
        <f>"IRS12C"</f>
        <v>IRS12C</v>
      </c>
      <c r="M1955" t="str">
        <f t="shared" si="602"/>
        <v>00168</v>
      </c>
      <c r="N1955" t="s">
        <v>975</v>
      </c>
      <c r="O1955">
        <v>43.9</v>
      </c>
      <c r="Q1955" t="s">
        <v>33</v>
      </c>
      <c r="R1955" t="s">
        <v>34</v>
      </c>
      <c r="S1955" t="s">
        <v>35</v>
      </c>
      <c r="T1955" t="s">
        <v>35</v>
      </c>
      <c r="U1955" t="s">
        <v>34</v>
      </c>
      <c r="V1955" t="str">
        <f>""</f>
        <v/>
      </c>
      <c r="W1955">
        <v>20141231</v>
      </c>
      <c r="X1955" t="s">
        <v>976</v>
      </c>
      <c r="Y1955" t="s">
        <v>989</v>
      </c>
      <c r="Z1955" t="s">
        <v>989</v>
      </c>
      <c r="AA1955">
        <v>0</v>
      </c>
      <c r="AB1955" t="s">
        <v>142</v>
      </c>
      <c r="AC1955" t="s">
        <v>39</v>
      </c>
      <c r="AD1955" t="s">
        <v>144</v>
      </c>
      <c r="AE1955" t="str">
        <f t="shared" si="608"/>
        <v>12</v>
      </c>
      <c r="AF1955" t="s">
        <v>40</v>
      </c>
    </row>
    <row r="1956" spans="1:32" x14ac:dyDescent="0.25">
      <c r="A1956">
        <v>5</v>
      </c>
      <c r="B1956">
        <v>420</v>
      </c>
      <c r="C1956" t="str">
        <f t="shared" si="606"/>
        <v>00</v>
      </c>
      <c r="D1956">
        <v>2152</v>
      </c>
      <c r="E1956" t="str">
        <f>"01"</f>
        <v>01</v>
      </c>
      <c r="F1956" t="str">
        <f t="shared" si="601"/>
        <v>000</v>
      </c>
      <c r="G1956">
        <v>5</v>
      </c>
      <c r="H1956" t="str">
        <f t="shared" si="607"/>
        <v>00</v>
      </c>
      <c r="I1956" t="str">
        <f t="shared" si="598"/>
        <v>0</v>
      </c>
      <c r="J1956" t="str">
        <f t="shared" si="594"/>
        <v>00</v>
      </c>
      <c r="K1956">
        <v>20141231</v>
      </c>
      <c r="L1956" t="str">
        <f>"IRS12C"</f>
        <v>IRS12C</v>
      </c>
      <c r="M1956" t="str">
        <f t="shared" si="602"/>
        <v>00168</v>
      </c>
      <c r="N1956" t="s">
        <v>975</v>
      </c>
      <c r="O1956">
        <v>30.21</v>
      </c>
      <c r="Q1956" t="s">
        <v>33</v>
      </c>
      <c r="R1956" t="s">
        <v>34</v>
      </c>
      <c r="S1956" t="s">
        <v>35</v>
      </c>
      <c r="T1956" t="s">
        <v>35</v>
      </c>
      <c r="U1956" t="s">
        <v>34</v>
      </c>
      <c r="V1956" t="str">
        <f>""</f>
        <v/>
      </c>
      <c r="W1956">
        <v>20141231</v>
      </c>
      <c r="X1956" t="s">
        <v>978</v>
      </c>
      <c r="Y1956" t="s">
        <v>989</v>
      </c>
      <c r="Z1956" t="s">
        <v>989</v>
      </c>
      <c r="AA1956">
        <v>0</v>
      </c>
      <c r="AB1956" t="s">
        <v>142</v>
      </c>
      <c r="AC1956" t="s">
        <v>39</v>
      </c>
      <c r="AD1956" t="s">
        <v>144</v>
      </c>
      <c r="AE1956" t="str">
        <f t="shared" si="608"/>
        <v>12</v>
      </c>
      <c r="AF1956" t="s">
        <v>40</v>
      </c>
    </row>
    <row r="1957" spans="1:32" x14ac:dyDescent="0.25">
      <c r="A1957">
        <v>5</v>
      </c>
      <c r="B1957">
        <v>420</v>
      </c>
      <c r="C1957" t="str">
        <f t="shared" si="606"/>
        <v>00</v>
      </c>
      <c r="D1957">
        <v>2152</v>
      </c>
      <c r="E1957" t="str">
        <f>"02"</f>
        <v>02</v>
      </c>
      <c r="F1957" t="str">
        <f t="shared" si="601"/>
        <v>000</v>
      </c>
      <c r="G1957">
        <v>5</v>
      </c>
      <c r="H1957" t="str">
        <f t="shared" si="607"/>
        <v>00</v>
      </c>
      <c r="I1957" t="str">
        <f t="shared" si="598"/>
        <v>0</v>
      </c>
      <c r="J1957" t="str">
        <f t="shared" si="594"/>
        <v>00</v>
      </c>
      <c r="K1957">
        <v>20141231</v>
      </c>
      <c r="L1957" t="str">
        <f>"IRS12C"</f>
        <v>IRS12C</v>
      </c>
      <c r="M1957" t="str">
        <f t="shared" si="602"/>
        <v>00168</v>
      </c>
      <c r="N1957" t="s">
        <v>975</v>
      </c>
      <c r="O1957">
        <v>30.21</v>
      </c>
      <c r="Q1957" t="s">
        <v>33</v>
      </c>
      <c r="R1957" t="s">
        <v>34</v>
      </c>
      <c r="S1957" t="s">
        <v>35</v>
      </c>
      <c r="T1957" t="s">
        <v>35</v>
      </c>
      <c r="U1957" t="s">
        <v>34</v>
      </c>
      <c r="V1957" t="str">
        <f>""</f>
        <v/>
      </c>
      <c r="W1957">
        <v>20141231</v>
      </c>
      <c r="X1957" t="s">
        <v>979</v>
      </c>
      <c r="Y1957" t="s">
        <v>989</v>
      </c>
      <c r="Z1957" t="s">
        <v>989</v>
      </c>
      <c r="AA1957">
        <v>0</v>
      </c>
      <c r="AB1957" t="s">
        <v>142</v>
      </c>
      <c r="AC1957" t="s">
        <v>39</v>
      </c>
      <c r="AD1957" t="s">
        <v>144</v>
      </c>
      <c r="AE1957" t="str">
        <f t="shared" si="608"/>
        <v>12</v>
      </c>
      <c r="AF1957" t="s">
        <v>40</v>
      </c>
    </row>
    <row r="1958" spans="1:32" x14ac:dyDescent="0.25">
      <c r="A1958">
        <v>5</v>
      </c>
      <c r="B1958">
        <v>420</v>
      </c>
      <c r="C1958" t="str">
        <f t="shared" si="606"/>
        <v>00</v>
      </c>
      <c r="D1958">
        <v>2151</v>
      </c>
      <c r="E1958" t="str">
        <f>"00"</f>
        <v>00</v>
      </c>
      <c r="F1958" t="str">
        <f t="shared" si="601"/>
        <v>000</v>
      </c>
      <c r="G1958">
        <v>5</v>
      </c>
      <c r="H1958" t="str">
        <f t="shared" si="607"/>
        <v>00</v>
      </c>
      <c r="I1958" t="str">
        <f t="shared" si="598"/>
        <v>0</v>
      </c>
      <c r="J1958" t="str">
        <f t="shared" si="594"/>
        <v>00</v>
      </c>
      <c r="K1958">
        <v>20141231</v>
      </c>
      <c r="L1958" t="str">
        <f>"IRS12D"</f>
        <v>IRS12D</v>
      </c>
      <c r="M1958" t="str">
        <f t="shared" si="602"/>
        <v>00168</v>
      </c>
      <c r="N1958" t="s">
        <v>975</v>
      </c>
      <c r="O1958">
        <v>160.44</v>
      </c>
      <c r="Q1958" t="s">
        <v>33</v>
      </c>
      <c r="R1958" t="s">
        <v>34</v>
      </c>
      <c r="S1958" t="s">
        <v>35</v>
      </c>
      <c r="T1958" t="s">
        <v>35</v>
      </c>
      <c r="U1958" t="s">
        <v>34</v>
      </c>
      <c r="V1958" t="str">
        <f>""</f>
        <v/>
      </c>
      <c r="W1958">
        <v>20141231</v>
      </c>
      <c r="X1958" t="s">
        <v>976</v>
      </c>
      <c r="Y1958" t="s">
        <v>989</v>
      </c>
      <c r="Z1958" t="s">
        <v>989</v>
      </c>
      <c r="AA1958">
        <v>0</v>
      </c>
      <c r="AB1958" t="s">
        <v>142</v>
      </c>
      <c r="AC1958" t="s">
        <v>39</v>
      </c>
      <c r="AD1958" t="s">
        <v>144</v>
      </c>
      <c r="AE1958" t="str">
        <f t="shared" si="608"/>
        <v>12</v>
      </c>
      <c r="AF1958" t="s">
        <v>40</v>
      </c>
    </row>
    <row r="1959" spans="1:32" x14ac:dyDescent="0.25">
      <c r="A1959">
        <v>5</v>
      </c>
      <c r="B1959">
        <v>420</v>
      </c>
      <c r="C1959" t="str">
        <f t="shared" si="606"/>
        <v>00</v>
      </c>
      <c r="D1959">
        <v>2152</v>
      </c>
      <c r="E1959" t="str">
        <f>"01"</f>
        <v>01</v>
      </c>
      <c r="F1959" t="str">
        <f t="shared" si="601"/>
        <v>000</v>
      </c>
      <c r="G1959">
        <v>5</v>
      </c>
      <c r="H1959" t="str">
        <f t="shared" si="607"/>
        <v>00</v>
      </c>
      <c r="I1959" t="str">
        <f t="shared" si="598"/>
        <v>0</v>
      </c>
      <c r="J1959" t="str">
        <f t="shared" si="594"/>
        <v>00</v>
      </c>
      <c r="K1959">
        <v>20141231</v>
      </c>
      <c r="L1959" t="str">
        <f>"IRS12D"</f>
        <v>IRS12D</v>
      </c>
      <c r="M1959" t="str">
        <f t="shared" si="602"/>
        <v>00168</v>
      </c>
      <c r="N1959" t="s">
        <v>975</v>
      </c>
      <c r="O1959">
        <v>59.19</v>
      </c>
      <c r="Q1959" t="s">
        <v>33</v>
      </c>
      <c r="R1959" t="s">
        <v>34</v>
      </c>
      <c r="S1959" t="s">
        <v>35</v>
      </c>
      <c r="T1959" t="s">
        <v>35</v>
      </c>
      <c r="U1959" t="s">
        <v>34</v>
      </c>
      <c r="V1959" t="str">
        <f>""</f>
        <v/>
      </c>
      <c r="W1959">
        <v>20141231</v>
      </c>
      <c r="X1959" t="s">
        <v>978</v>
      </c>
      <c r="Y1959" t="s">
        <v>989</v>
      </c>
      <c r="Z1959" t="s">
        <v>989</v>
      </c>
      <c r="AA1959">
        <v>0</v>
      </c>
      <c r="AB1959" t="s">
        <v>142</v>
      </c>
      <c r="AC1959" t="s">
        <v>39</v>
      </c>
      <c r="AD1959" t="s">
        <v>144</v>
      </c>
      <c r="AE1959" t="str">
        <f t="shared" si="608"/>
        <v>12</v>
      </c>
      <c r="AF1959" t="s">
        <v>40</v>
      </c>
    </row>
    <row r="1960" spans="1:32" x14ac:dyDescent="0.25">
      <c r="A1960">
        <v>5</v>
      </c>
      <c r="B1960">
        <v>420</v>
      </c>
      <c r="C1960" t="str">
        <f t="shared" si="606"/>
        <v>00</v>
      </c>
      <c r="D1960">
        <v>2152</v>
      </c>
      <c r="E1960" t="str">
        <f>"02"</f>
        <v>02</v>
      </c>
      <c r="F1960" t="str">
        <f t="shared" si="601"/>
        <v>000</v>
      </c>
      <c r="G1960">
        <v>5</v>
      </c>
      <c r="H1960" t="str">
        <f t="shared" si="607"/>
        <v>00</v>
      </c>
      <c r="I1960" t="str">
        <f t="shared" si="598"/>
        <v>0</v>
      </c>
      <c r="J1960" t="str">
        <f t="shared" si="594"/>
        <v>00</v>
      </c>
      <c r="K1960">
        <v>20141231</v>
      </c>
      <c r="L1960" t="str">
        <f>"IRS12D"</f>
        <v>IRS12D</v>
      </c>
      <c r="M1960" t="str">
        <f t="shared" si="602"/>
        <v>00168</v>
      </c>
      <c r="N1960" t="s">
        <v>975</v>
      </c>
      <c r="O1960">
        <v>59.19</v>
      </c>
      <c r="Q1960" t="s">
        <v>33</v>
      </c>
      <c r="R1960" t="s">
        <v>34</v>
      </c>
      <c r="S1960" t="s">
        <v>35</v>
      </c>
      <c r="T1960" t="s">
        <v>35</v>
      </c>
      <c r="U1960" t="s">
        <v>34</v>
      </c>
      <c r="V1960" t="str">
        <f>""</f>
        <v/>
      </c>
      <c r="W1960">
        <v>20141231</v>
      </c>
      <c r="X1960" t="s">
        <v>979</v>
      </c>
      <c r="Y1960" t="s">
        <v>989</v>
      </c>
      <c r="Z1960" t="s">
        <v>989</v>
      </c>
      <c r="AA1960">
        <v>0</v>
      </c>
      <c r="AB1960" t="s">
        <v>142</v>
      </c>
      <c r="AC1960" t="s">
        <v>39</v>
      </c>
      <c r="AD1960" t="s">
        <v>144</v>
      </c>
      <c r="AE1960" t="str">
        <f t="shared" si="608"/>
        <v>12</v>
      </c>
      <c r="AF1960" t="s">
        <v>40</v>
      </c>
    </row>
    <row r="1961" spans="1:32" x14ac:dyDescent="0.25">
      <c r="A1961">
        <v>5</v>
      </c>
      <c r="B1961">
        <v>420</v>
      </c>
      <c r="C1961" t="str">
        <f t="shared" si="606"/>
        <v>00</v>
      </c>
      <c r="D1961">
        <v>2151</v>
      </c>
      <c r="E1961" t="str">
        <f>"00"</f>
        <v>00</v>
      </c>
      <c r="F1961" t="str">
        <f t="shared" si="601"/>
        <v>000</v>
      </c>
      <c r="G1961">
        <v>5</v>
      </c>
      <c r="H1961" t="str">
        <f t="shared" si="607"/>
        <v>00</v>
      </c>
      <c r="I1961" t="str">
        <f t="shared" si="598"/>
        <v>0</v>
      </c>
      <c r="J1961" t="str">
        <f t="shared" si="594"/>
        <v>00</v>
      </c>
      <c r="K1961">
        <v>20141231</v>
      </c>
      <c r="L1961" t="str">
        <f>"IRS12E"</f>
        <v>IRS12E</v>
      </c>
      <c r="M1961" t="str">
        <f t="shared" si="602"/>
        <v>00168</v>
      </c>
      <c r="N1961" t="s">
        <v>975</v>
      </c>
      <c r="O1961" s="1">
        <v>17937.849999999999</v>
      </c>
      <c r="Q1961" t="s">
        <v>33</v>
      </c>
      <c r="R1961" t="s">
        <v>34</v>
      </c>
      <c r="S1961" t="s">
        <v>35</v>
      </c>
      <c r="T1961" t="s">
        <v>35</v>
      </c>
      <c r="U1961" t="s">
        <v>34</v>
      </c>
      <c r="V1961" t="str">
        <f>""</f>
        <v/>
      </c>
      <c r="W1961">
        <v>20141231</v>
      </c>
      <c r="X1961" t="s">
        <v>976</v>
      </c>
      <c r="Y1961" t="s">
        <v>989</v>
      </c>
      <c r="Z1961" t="s">
        <v>989</v>
      </c>
      <c r="AA1961">
        <v>0</v>
      </c>
      <c r="AB1961" t="s">
        <v>142</v>
      </c>
      <c r="AC1961" t="s">
        <v>39</v>
      </c>
      <c r="AD1961" t="s">
        <v>144</v>
      </c>
      <c r="AE1961" t="str">
        <f t="shared" si="608"/>
        <v>12</v>
      </c>
      <c r="AF1961" t="s">
        <v>40</v>
      </c>
    </row>
    <row r="1962" spans="1:32" x14ac:dyDescent="0.25">
      <c r="A1962">
        <v>5</v>
      </c>
      <c r="B1962">
        <v>420</v>
      </c>
      <c r="C1962" t="str">
        <f t="shared" si="606"/>
        <v>00</v>
      </c>
      <c r="D1962">
        <v>2152</v>
      </c>
      <c r="E1962" t="str">
        <f>"01"</f>
        <v>01</v>
      </c>
      <c r="F1962" t="str">
        <f t="shared" si="601"/>
        <v>000</v>
      </c>
      <c r="G1962">
        <v>5</v>
      </c>
      <c r="H1962" t="str">
        <f t="shared" si="607"/>
        <v>00</v>
      </c>
      <c r="I1962" t="str">
        <f t="shared" si="598"/>
        <v>0</v>
      </c>
      <c r="J1962" t="str">
        <f t="shared" si="594"/>
        <v>00</v>
      </c>
      <c r="K1962">
        <v>20141231</v>
      </c>
      <c r="L1962" t="str">
        <f>"IRS12E"</f>
        <v>IRS12E</v>
      </c>
      <c r="M1962" t="str">
        <f t="shared" si="602"/>
        <v>00168</v>
      </c>
      <c r="N1962" t="s">
        <v>975</v>
      </c>
      <c r="O1962" s="1">
        <v>3193.75</v>
      </c>
      <c r="Q1962" t="s">
        <v>33</v>
      </c>
      <c r="R1962" t="s">
        <v>34</v>
      </c>
      <c r="S1962" t="s">
        <v>35</v>
      </c>
      <c r="T1962" t="s">
        <v>35</v>
      </c>
      <c r="U1962" t="s">
        <v>34</v>
      </c>
      <c r="V1962" t="str">
        <f>""</f>
        <v/>
      </c>
      <c r="W1962">
        <v>20141231</v>
      </c>
      <c r="X1962" t="s">
        <v>978</v>
      </c>
      <c r="Y1962" t="s">
        <v>989</v>
      </c>
      <c r="Z1962" t="s">
        <v>989</v>
      </c>
      <c r="AA1962">
        <v>0</v>
      </c>
      <c r="AB1962" t="s">
        <v>142</v>
      </c>
      <c r="AC1962" t="s">
        <v>39</v>
      </c>
      <c r="AD1962" t="s">
        <v>144</v>
      </c>
      <c r="AE1962" t="str">
        <f t="shared" si="608"/>
        <v>12</v>
      </c>
      <c r="AF1962" t="s">
        <v>40</v>
      </c>
    </row>
    <row r="1963" spans="1:32" x14ac:dyDescent="0.25">
      <c r="A1963">
        <v>5</v>
      </c>
      <c r="B1963">
        <v>420</v>
      </c>
      <c r="C1963" t="str">
        <f t="shared" si="606"/>
        <v>00</v>
      </c>
      <c r="D1963">
        <v>2152</v>
      </c>
      <c r="E1963" t="str">
        <f>"02"</f>
        <v>02</v>
      </c>
      <c r="F1963" t="str">
        <f t="shared" si="601"/>
        <v>000</v>
      </c>
      <c r="G1963">
        <v>5</v>
      </c>
      <c r="H1963" t="str">
        <f t="shared" si="607"/>
        <v>00</v>
      </c>
      <c r="I1963" t="str">
        <f t="shared" si="598"/>
        <v>0</v>
      </c>
      <c r="J1963" t="str">
        <f t="shared" si="594"/>
        <v>00</v>
      </c>
      <c r="K1963">
        <v>20141231</v>
      </c>
      <c r="L1963" t="str">
        <f>"IRS12E"</f>
        <v>IRS12E</v>
      </c>
      <c r="M1963" t="str">
        <f t="shared" si="602"/>
        <v>00168</v>
      </c>
      <c r="N1963" t="s">
        <v>975</v>
      </c>
      <c r="O1963" s="1">
        <v>3193.75</v>
      </c>
      <c r="Q1963" t="s">
        <v>33</v>
      </c>
      <c r="R1963" t="s">
        <v>34</v>
      </c>
      <c r="S1963" t="s">
        <v>35</v>
      </c>
      <c r="T1963" t="s">
        <v>35</v>
      </c>
      <c r="U1963" t="s">
        <v>34</v>
      </c>
      <c r="V1963" t="str">
        <f>""</f>
        <v/>
      </c>
      <c r="W1963">
        <v>20141231</v>
      </c>
      <c r="X1963" t="s">
        <v>979</v>
      </c>
      <c r="Y1963" t="s">
        <v>989</v>
      </c>
      <c r="Z1963" t="s">
        <v>989</v>
      </c>
      <c r="AA1963">
        <v>0</v>
      </c>
      <c r="AB1963" t="s">
        <v>142</v>
      </c>
      <c r="AC1963" t="s">
        <v>39</v>
      </c>
      <c r="AD1963" t="s">
        <v>144</v>
      </c>
      <c r="AE1963" t="str">
        <f t="shared" si="608"/>
        <v>12</v>
      </c>
      <c r="AF1963" t="s">
        <v>40</v>
      </c>
    </row>
    <row r="1964" spans="1:32" x14ac:dyDescent="0.25">
      <c r="A1964">
        <v>5</v>
      </c>
      <c r="B1964">
        <v>420</v>
      </c>
      <c r="C1964" t="str">
        <f t="shared" si="606"/>
        <v>00</v>
      </c>
      <c r="D1964">
        <v>2153</v>
      </c>
      <c r="E1964" t="str">
        <f>"00"</f>
        <v>00</v>
      </c>
      <c r="F1964" t="str">
        <f>"010"</f>
        <v>010</v>
      </c>
      <c r="G1964">
        <v>5</v>
      </c>
      <c r="H1964" t="str">
        <f t="shared" si="607"/>
        <v>00</v>
      </c>
      <c r="I1964" t="str">
        <f t="shared" si="598"/>
        <v>0</v>
      </c>
      <c r="J1964" t="str">
        <f t="shared" si="594"/>
        <v>00</v>
      </c>
      <c r="K1964">
        <v>20150126</v>
      </c>
      <c r="L1964" t="str">
        <f>"TRS01A"</f>
        <v>TRS01A</v>
      </c>
      <c r="M1964" t="str">
        <f t="shared" ref="M1964:M1995" si="609">"00355"</f>
        <v>00355</v>
      </c>
      <c r="N1964" t="s">
        <v>295</v>
      </c>
      <c r="O1964" s="1">
        <v>1950</v>
      </c>
      <c r="Q1964" t="s">
        <v>33</v>
      </c>
      <c r="R1964" t="s">
        <v>34</v>
      </c>
      <c r="S1964" t="s">
        <v>35</v>
      </c>
      <c r="T1964" t="s">
        <v>35</v>
      </c>
      <c r="U1964" t="s">
        <v>34</v>
      </c>
      <c r="V1964" t="str">
        <f>""</f>
        <v/>
      </c>
      <c r="W1964">
        <v>20150126</v>
      </c>
      <c r="X1964" t="s">
        <v>990</v>
      </c>
      <c r="Y1964" t="s">
        <v>991</v>
      </c>
      <c r="Z1964" t="s">
        <v>991</v>
      </c>
      <c r="AA1964">
        <v>0</v>
      </c>
      <c r="AB1964" t="s">
        <v>142</v>
      </c>
      <c r="AC1964" t="s">
        <v>992</v>
      </c>
      <c r="AD1964" t="s">
        <v>144</v>
      </c>
      <c r="AE1964" t="str">
        <f>"01"</f>
        <v>01</v>
      </c>
      <c r="AF1964" t="s">
        <v>40</v>
      </c>
    </row>
    <row r="1965" spans="1:32" x14ac:dyDescent="0.25">
      <c r="A1965">
        <v>5</v>
      </c>
      <c r="B1965">
        <v>420</v>
      </c>
      <c r="C1965" t="str">
        <f t="shared" si="606"/>
        <v>00</v>
      </c>
      <c r="D1965">
        <v>2153</v>
      </c>
      <c r="E1965" t="str">
        <f>"00"</f>
        <v>00</v>
      </c>
      <c r="F1965" t="str">
        <f>"011"</f>
        <v>011</v>
      </c>
      <c r="G1965">
        <v>5</v>
      </c>
      <c r="H1965" t="str">
        <f t="shared" si="607"/>
        <v>00</v>
      </c>
      <c r="I1965" t="str">
        <f t="shared" si="598"/>
        <v>0</v>
      </c>
      <c r="J1965" t="str">
        <f t="shared" si="594"/>
        <v>00</v>
      </c>
      <c r="K1965">
        <v>20150126</v>
      </c>
      <c r="L1965" t="str">
        <f>"TRS01A"</f>
        <v>TRS01A</v>
      </c>
      <c r="M1965" t="str">
        <f t="shared" si="609"/>
        <v>00355</v>
      </c>
      <c r="N1965" t="s">
        <v>295</v>
      </c>
      <c r="O1965" s="1">
        <v>7246</v>
      </c>
      <c r="Q1965" t="s">
        <v>33</v>
      </c>
      <c r="R1965" t="s">
        <v>34</v>
      </c>
      <c r="S1965" t="s">
        <v>35</v>
      </c>
      <c r="T1965" t="s">
        <v>35</v>
      </c>
      <c r="U1965" t="s">
        <v>34</v>
      </c>
      <c r="V1965" t="str">
        <f>""</f>
        <v/>
      </c>
      <c r="W1965">
        <v>20150126</v>
      </c>
      <c r="X1965" t="s">
        <v>993</v>
      </c>
      <c r="Y1965" t="s">
        <v>991</v>
      </c>
      <c r="Z1965" t="s">
        <v>991</v>
      </c>
      <c r="AA1965">
        <v>0</v>
      </c>
      <c r="AB1965" t="s">
        <v>142</v>
      </c>
      <c r="AC1965" t="s">
        <v>994</v>
      </c>
      <c r="AD1965" t="s">
        <v>144</v>
      </c>
      <c r="AE1965" t="str">
        <f>"01"</f>
        <v>01</v>
      </c>
      <c r="AF1965" t="s">
        <v>40</v>
      </c>
    </row>
    <row r="1966" spans="1:32" x14ac:dyDescent="0.25">
      <c r="A1966">
        <v>5</v>
      </c>
      <c r="B1966">
        <v>420</v>
      </c>
      <c r="C1966" t="str">
        <f t="shared" si="606"/>
        <v>00</v>
      </c>
      <c r="D1966">
        <v>2153</v>
      </c>
      <c r="E1966" t="str">
        <f>"00"</f>
        <v>00</v>
      </c>
      <c r="F1966" t="str">
        <f>"012"</f>
        <v>012</v>
      </c>
      <c r="G1966">
        <v>5</v>
      </c>
      <c r="H1966" t="str">
        <f t="shared" si="607"/>
        <v>00</v>
      </c>
      <c r="I1966" t="str">
        <f t="shared" si="598"/>
        <v>0</v>
      </c>
      <c r="J1966" t="str">
        <f t="shared" si="594"/>
        <v>00</v>
      </c>
      <c r="K1966">
        <v>20150126</v>
      </c>
      <c r="L1966" t="str">
        <f>"TRS01A"</f>
        <v>TRS01A</v>
      </c>
      <c r="M1966" t="str">
        <f t="shared" si="609"/>
        <v>00355</v>
      </c>
      <c r="N1966" t="s">
        <v>295</v>
      </c>
      <c r="O1966" s="1">
        <v>7939.5</v>
      </c>
      <c r="Q1966" t="s">
        <v>33</v>
      </c>
      <c r="R1966" t="s">
        <v>34</v>
      </c>
      <c r="S1966" t="s">
        <v>35</v>
      </c>
      <c r="T1966" t="s">
        <v>35</v>
      </c>
      <c r="U1966" t="s">
        <v>34</v>
      </c>
      <c r="V1966" t="str">
        <f>""</f>
        <v/>
      </c>
      <c r="W1966">
        <v>20150126</v>
      </c>
      <c r="X1966" t="s">
        <v>995</v>
      </c>
      <c r="Y1966" t="s">
        <v>991</v>
      </c>
      <c r="Z1966" t="s">
        <v>991</v>
      </c>
      <c r="AA1966">
        <v>0</v>
      </c>
      <c r="AB1966" t="s">
        <v>142</v>
      </c>
      <c r="AC1966" t="s">
        <v>996</v>
      </c>
      <c r="AD1966" t="s">
        <v>144</v>
      </c>
      <c r="AE1966" t="str">
        <f>"01"</f>
        <v>01</v>
      </c>
      <c r="AF1966" t="s">
        <v>40</v>
      </c>
    </row>
    <row r="1967" spans="1:32" x14ac:dyDescent="0.25">
      <c r="A1967">
        <v>5</v>
      </c>
      <c r="B1967">
        <v>420</v>
      </c>
      <c r="C1967" t="str">
        <f t="shared" si="606"/>
        <v>00</v>
      </c>
      <c r="D1967">
        <v>2155</v>
      </c>
      <c r="E1967" t="str">
        <f>"00"</f>
        <v>00</v>
      </c>
      <c r="F1967" t="str">
        <f t="shared" ref="F1967:F1973" si="610">"000"</f>
        <v>000</v>
      </c>
      <c r="G1967">
        <v>5</v>
      </c>
      <c r="H1967" t="str">
        <f t="shared" si="607"/>
        <v>00</v>
      </c>
      <c r="I1967" t="str">
        <f t="shared" si="598"/>
        <v>0</v>
      </c>
      <c r="J1967" t="str">
        <f t="shared" si="594"/>
        <v>00</v>
      </c>
      <c r="K1967">
        <v>20150205</v>
      </c>
      <c r="L1967" t="str">
        <f t="shared" ref="L1967:L1973" si="611">"trs01b"</f>
        <v>trs01b</v>
      </c>
      <c r="M1967" t="str">
        <f t="shared" si="609"/>
        <v>00355</v>
      </c>
      <c r="N1967" t="s">
        <v>295</v>
      </c>
      <c r="O1967" s="1">
        <v>13180.96</v>
      </c>
      <c r="Q1967" t="s">
        <v>33</v>
      </c>
      <c r="R1967" t="s">
        <v>34</v>
      </c>
      <c r="S1967" t="s">
        <v>35</v>
      </c>
      <c r="T1967" t="s">
        <v>35</v>
      </c>
      <c r="U1967" t="s">
        <v>34</v>
      </c>
      <c r="V1967" t="str">
        <f>""</f>
        <v/>
      </c>
      <c r="W1967">
        <v>20150205</v>
      </c>
      <c r="X1967" t="s">
        <v>997</v>
      </c>
      <c r="Y1967" t="s">
        <v>980</v>
      </c>
      <c r="Z1967" t="s">
        <v>980</v>
      </c>
      <c r="AA1967">
        <v>0</v>
      </c>
      <c r="AB1967" t="s">
        <v>142</v>
      </c>
      <c r="AC1967" t="s">
        <v>39</v>
      </c>
      <c r="AD1967" t="s">
        <v>144</v>
      </c>
      <c r="AE1967" t="str">
        <f t="shared" ref="AE1967:AE1976" si="612">"02"</f>
        <v>02</v>
      </c>
      <c r="AF1967" t="s">
        <v>40</v>
      </c>
    </row>
    <row r="1968" spans="1:32" x14ac:dyDescent="0.25">
      <c r="A1968">
        <v>5</v>
      </c>
      <c r="B1968">
        <v>420</v>
      </c>
      <c r="C1968" t="str">
        <f t="shared" si="606"/>
        <v>00</v>
      </c>
      <c r="D1968">
        <v>2155</v>
      </c>
      <c r="E1968" t="str">
        <f>"01"</f>
        <v>01</v>
      </c>
      <c r="F1968" t="str">
        <f t="shared" si="610"/>
        <v>000</v>
      </c>
      <c r="G1968">
        <v>5</v>
      </c>
      <c r="H1968" t="str">
        <f t="shared" si="607"/>
        <v>00</v>
      </c>
      <c r="I1968" t="str">
        <f t="shared" si="598"/>
        <v>0</v>
      </c>
      <c r="J1968" t="str">
        <f t="shared" si="594"/>
        <v>00</v>
      </c>
      <c r="K1968">
        <v>20150205</v>
      </c>
      <c r="L1968" t="str">
        <f t="shared" si="611"/>
        <v>trs01b</v>
      </c>
      <c r="M1968" t="str">
        <f t="shared" si="609"/>
        <v>00355</v>
      </c>
      <c r="N1968" t="s">
        <v>295</v>
      </c>
      <c r="O1968" s="1">
        <v>1484.5</v>
      </c>
      <c r="Q1968" t="s">
        <v>33</v>
      </c>
      <c r="R1968" t="s">
        <v>34</v>
      </c>
      <c r="S1968" t="s">
        <v>35</v>
      </c>
      <c r="T1968" t="s">
        <v>35</v>
      </c>
      <c r="U1968" t="s">
        <v>34</v>
      </c>
      <c r="V1968" t="str">
        <f>""</f>
        <v/>
      </c>
      <c r="W1968">
        <v>20150205</v>
      </c>
      <c r="X1968" t="s">
        <v>998</v>
      </c>
      <c r="Y1968" t="s">
        <v>980</v>
      </c>
      <c r="Z1968" t="s">
        <v>980</v>
      </c>
      <c r="AA1968">
        <v>0</v>
      </c>
      <c r="AB1968" t="s">
        <v>142</v>
      </c>
      <c r="AC1968" t="s">
        <v>39</v>
      </c>
      <c r="AD1968" t="s">
        <v>144</v>
      </c>
      <c r="AE1968" t="str">
        <f t="shared" si="612"/>
        <v>02</v>
      </c>
      <c r="AF1968" t="s">
        <v>40</v>
      </c>
    </row>
    <row r="1969" spans="1:32" x14ac:dyDescent="0.25">
      <c r="A1969">
        <v>5</v>
      </c>
      <c r="B1969">
        <v>420</v>
      </c>
      <c r="C1969" t="str">
        <f t="shared" si="606"/>
        <v>00</v>
      </c>
      <c r="D1969">
        <v>2155</v>
      </c>
      <c r="E1969" t="str">
        <f>"03"</f>
        <v>03</v>
      </c>
      <c r="F1969" t="str">
        <f t="shared" si="610"/>
        <v>000</v>
      </c>
      <c r="G1969">
        <v>5</v>
      </c>
      <c r="H1969" t="str">
        <f t="shared" si="607"/>
        <v>00</v>
      </c>
      <c r="I1969" t="str">
        <f t="shared" si="598"/>
        <v>0</v>
      </c>
      <c r="J1969" t="str">
        <f t="shared" si="594"/>
        <v>00</v>
      </c>
      <c r="K1969">
        <v>20150205</v>
      </c>
      <c r="L1969" t="str">
        <f t="shared" si="611"/>
        <v>trs01b</v>
      </c>
      <c r="M1969" t="str">
        <f t="shared" si="609"/>
        <v>00355</v>
      </c>
      <c r="N1969" t="s">
        <v>295</v>
      </c>
      <c r="O1969">
        <v>218.32</v>
      </c>
      <c r="Q1969" t="s">
        <v>33</v>
      </c>
      <c r="R1969" t="s">
        <v>34</v>
      </c>
      <c r="S1969" t="s">
        <v>35</v>
      </c>
      <c r="T1969" t="s">
        <v>35</v>
      </c>
      <c r="U1969" t="s">
        <v>34</v>
      </c>
      <c r="V1969" t="str">
        <f>""</f>
        <v/>
      </c>
      <c r="W1969">
        <v>20150205</v>
      </c>
      <c r="X1969" t="s">
        <v>999</v>
      </c>
      <c r="Y1969" t="s">
        <v>980</v>
      </c>
      <c r="Z1969" t="s">
        <v>980</v>
      </c>
      <c r="AA1969">
        <v>0</v>
      </c>
      <c r="AB1969" t="s">
        <v>142</v>
      </c>
      <c r="AC1969" t="s">
        <v>39</v>
      </c>
      <c r="AD1969" t="s">
        <v>144</v>
      </c>
      <c r="AE1969" t="str">
        <f t="shared" si="612"/>
        <v>02</v>
      </c>
      <c r="AF1969" t="s">
        <v>40</v>
      </c>
    </row>
    <row r="1970" spans="1:32" x14ac:dyDescent="0.25">
      <c r="A1970">
        <v>5</v>
      </c>
      <c r="B1970">
        <v>420</v>
      </c>
      <c r="C1970" t="str">
        <f t="shared" si="606"/>
        <v>00</v>
      </c>
      <c r="D1970">
        <v>2155</v>
      </c>
      <c r="E1970" t="str">
        <f>"04"</f>
        <v>04</v>
      </c>
      <c r="F1970" t="str">
        <f t="shared" si="610"/>
        <v>000</v>
      </c>
      <c r="G1970">
        <v>5</v>
      </c>
      <c r="H1970" t="str">
        <f t="shared" si="607"/>
        <v>00</v>
      </c>
      <c r="I1970" t="str">
        <f t="shared" si="598"/>
        <v>0</v>
      </c>
      <c r="J1970" t="str">
        <f t="shared" si="594"/>
        <v>00</v>
      </c>
      <c r="K1970">
        <v>20150205</v>
      </c>
      <c r="L1970" t="str">
        <f t="shared" si="611"/>
        <v>trs01b</v>
      </c>
      <c r="M1970" t="str">
        <f t="shared" si="609"/>
        <v>00355</v>
      </c>
      <c r="N1970" t="s">
        <v>295</v>
      </c>
      <c r="O1970">
        <v>986.37</v>
      </c>
      <c r="Q1970" t="s">
        <v>33</v>
      </c>
      <c r="R1970" t="s">
        <v>34</v>
      </c>
      <c r="S1970" t="s">
        <v>35</v>
      </c>
      <c r="T1970" t="s">
        <v>35</v>
      </c>
      <c r="U1970" t="s">
        <v>34</v>
      </c>
      <c r="V1970" t="str">
        <f>""</f>
        <v/>
      </c>
      <c r="W1970">
        <v>20150205</v>
      </c>
      <c r="X1970" t="s">
        <v>1000</v>
      </c>
      <c r="Y1970" t="s">
        <v>980</v>
      </c>
      <c r="Z1970" t="s">
        <v>980</v>
      </c>
      <c r="AA1970">
        <v>0</v>
      </c>
      <c r="AB1970" t="s">
        <v>142</v>
      </c>
      <c r="AC1970" t="s">
        <v>39</v>
      </c>
      <c r="AD1970" t="s">
        <v>144</v>
      </c>
      <c r="AE1970" t="str">
        <f t="shared" si="612"/>
        <v>02</v>
      </c>
      <c r="AF1970" t="s">
        <v>40</v>
      </c>
    </row>
    <row r="1971" spans="1:32" x14ac:dyDescent="0.25">
      <c r="A1971">
        <v>5</v>
      </c>
      <c r="B1971">
        <v>420</v>
      </c>
      <c r="C1971" t="str">
        <f t="shared" si="606"/>
        <v>00</v>
      </c>
      <c r="D1971">
        <v>2155</v>
      </c>
      <c r="E1971" t="str">
        <f>"05"</f>
        <v>05</v>
      </c>
      <c r="F1971" t="str">
        <f t="shared" si="610"/>
        <v>000</v>
      </c>
      <c r="G1971">
        <v>5</v>
      </c>
      <c r="H1971" t="str">
        <f t="shared" si="607"/>
        <v>00</v>
      </c>
      <c r="I1971" t="str">
        <f t="shared" si="598"/>
        <v>0</v>
      </c>
      <c r="J1971" t="str">
        <f t="shared" ref="J1971:J2034" si="613">"00"</f>
        <v>00</v>
      </c>
      <c r="K1971">
        <v>20150205</v>
      </c>
      <c r="L1971" t="str">
        <f t="shared" si="611"/>
        <v>trs01b</v>
      </c>
      <c r="M1971" t="str">
        <f t="shared" si="609"/>
        <v>00355</v>
      </c>
      <c r="N1971" t="s">
        <v>295</v>
      </c>
      <c r="O1971">
        <v>408</v>
      </c>
      <c r="Q1971" t="s">
        <v>33</v>
      </c>
      <c r="R1971" t="s">
        <v>34</v>
      </c>
      <c r="S1971" t="s">
        <v>35</v>
      </c>
      <c r="T1971" t="s">
        <v>35</v>
      </c>
      <c r="U1971" t="s">
        <v>34</v>
      </c>
      <c r="V1971" t="str">
        <f>""</f>
        <v/>
      </c>
      <c r="W1971">
        <v>20150205</v>
      </c>
      <c r="X1971" t="s">
        <v>1001</v>
      </c>
      <c r="Y1971" t="s">
        <v>980</v>
      </c>
      <c r="Z1971" t="s">
        <v>980</v>
      </c>
      <c r="AA1971">
        <v>0</v>
      </c>
      <c r="AB1971" t="s">
        <v>142</v>
      </c>
      <c r="AC1971" t="s">
        <v>39</v>
      </c>
      <c r="AD1971" t="s">
        <v>144</v>
      </c>
      <c r="AE1971" t="str">
        <f t="shared" si="612"/>
        <v>02</v>
      </c>
      <c r="AF1971" t="s">
        <v>40</v>
      </c>
    </row>
    <row r="1972" spans="1:32" x14ac:dyDescent="0.25">
      <c r="A1972">
        <v>5</v>
      </c>
      <c r="B1972">
        <v>420</v>
      </c>
      <c r="C1972" t="str">
        <f t="shared" si="606"/>
        <v>00</v>
      </c>
      <c r="D1972">
        <v>2155</v>
      </c>
      <c r="E1972" t="str">
        <f>"06"</f>
        <v>06</v>
      </c>
      <c r="F1972" t="str">
        <f t="shared" si="610"/>
        <v>000</v>
      </c>
      <c r="G1972">
        <v>5</v>
      </c>
      <c r="H1972" t="str">
        <f t="shared" si="607"/>
        <v>00</v>
      </c>
      <c r="I1972" t="str">
        <f t="shared" si="598"/>
        <v>0</v>
      </c>
      <c r="J1972" t="str">
        <f t="shared" si="613"/>
        <v>00</v>
      </c>
      <c r="K1972">
        <v>20150205</v>
      </c>
      <c r="L1972" t="str">
        <f t="shared" si="611"/>
        <v>trs01b</v>
      </c>
      <c r="M1972" t="str">
        <f t="shared" si="609"/>
        <v>00355</v>
      </c>
      <c r="N1972" t="s">
        <v>295</v>
      </c>
      <c r="O1972">
        <v>277.77</v>
      </c>
      <c r="Q1972" t="s">
        <v>33</v>
      </c>
      <c r="R1972" t="s">
        <v>34</v>
      </c>
      <c r="S1972" t="s">
        <v>35</v>
      </c>
      <c r="T1972" t="s">
        <v>35</v>
      </c>
      <c r="U1972" t="s">
        <v>34</v>
      </c>
      <c r="V1972" t="str">
        <f>""</f>
        <v/>
      </c>
      <c r="W1972">
        <v>20150205</v>
      </c>
      <c r="X1972" t="s">
        <v>1002</v>
      </c>
      <c r="Y1972" t="s">
        <v>980</v>
      </c>
      <c r="Z1972" t="s">
        <v>980</v>
      </c>
      <c r="AA1972">
        <v>0</v>
      </c>
      <c r="AB1972" t="s">
        <v>142</v>
      </c>
      <c r="AC1972" t="s">
        <v>39</v>
      </c>
      <c r="AD1972" t="s">
        <v>144</v>
      </c>
      <c r="AE1972" t="str">
        <f t="shared" si="612"/>
        <v>02</v>
      </c>
      <c r="AF1972" t="s">
        <v>40</v>
      </c>
    </row>
    <row r="1973" spans="1:32" x14ac:dyDescent="0.25">
      <c r="A1973">
        <v>5</v>
      </c>
      <c r="B1973">
        <v>420</v>
      </c>
      <c r="C1973" t="str">
        <f t="shared" si="606"/>
        <v>00</v>
      </c>
      <c r="D1973">
        <v>2155</v>
      </c>
      <c r="E1973" t="str">
        <f>"08"</f>
        <v>08</v>
      </c>
      <c r="F1973" t="str">
        <f t="shared" si="610"/>
        <v>000</v>
      </c>
      <c r="G1973">
        <v>5</v>
      </c>
      <c r="H1973" t="str">
        <f t="shared" si="607"/>
        <v>00</v>
      </c>
      <c r="I1973" t="str">
        <f t="shared" si="598"/>
        <v>0</v>
      </c>
      <c r="J1973" t="str">
        <f t="shared" si="613"/>
        <v>00</v>
      </c>
      <c r="K1973">
        <v>20150205</v>
      </c>
      <c r="L1973" t="str">
        <f t="shared" si="611"/>
        <v>trs01b</v>
      </c>
      <c r="M1973" t="str">
        <f t="shared" si="609"/>
        <v>00355</v>
      </c>
      <c r="N1973" t="s">
        <v>295</v>
      </c>
      <c r="O1973" s="1">
        <v>2676.96</v>
      </c>
      <c r="Q1973" t="s">
        <v>33</v>
      </c>
      <c r="R1973" t="s">
        <v>34</v>
      </c>
      <c r="S1973" t="s">
        <v>35</v>
      </c>
      <c r="T1973" t="s">
        <v>35</v>
      </c>
      <c r="U1973" t="s">
        <v>34</v>
      </c>
      <c r="V1973" t="str">
        <f>""</f>
        <v/>
      </c>
      <c r="W1973">
        <v>20150205</v>
      </c>
      <c r="X1973" t="s">
        <v>1003</v>
      </c>
      <c r="Y1973" t="s">
        <v>980</v>
      </c>
      <c r="Z1973" t="s">
        <v>980</v>
      </c>
      <c r="AA1973">
        <v>0</v>
      </c>
      <c r="AB1973" t="s">
        <v>142</v>
      </c>
      <c r="AC1973" t="s">
        <v>39</v>
      </c>
      <c r="AD1973" t="s">
        <v>144</v>
      </c>
      <c r="AE1973" t="str">
        <f t="shared" si="612"/>
        <v>02</v>
      </c>
      <c r="AF1973" t="s">
        <v>40</v>
      </c>
    </row>
    <row r="1974" spans="1:32" x14ac:dyDescent="0.25">
      <c r="A1974">
        <v>5</v>
      </c>
      <c r="B1974">
        <v>420</v>
      </c>
      <c r="C1974" t="str">
        <f t="shared" si="606"/>
        <v>00</v>
      </c>
      <c r="D1974">
        <v>2153</v>
      </c>
      <c r="E1974" t="str">
        <f>"00"</f>
        <v>00</v>
      </c>
      <c r="F1974" t="str">
        <f>"010"</f>
        <v>010</v>
      </c>
      <c r="G1974">
        <v>5</v>
      </c>
      <c r="H1974" t="str">
        <f t="shared" si="607"/>
        <v>00</v>
      </c>
      <c r="I1974" t="str">
        <f t="shared" si="598"/>
        <v>0</v>
      </c>
      <c r="J1974" t="str">
        <f t="shared" si="613"/>
        <v>00</v>
      </c>
      <c r="K1974">
        <v>20150215</v>
      </c>
      <c r="L1974" t="str">
        <f>"TRS02A"</f>
        <v>TRS02A</v>
      </c>
      <c r="M1974" t="str">
        <f t="shared" si="609"/>
        <v>00355</v>
      </c>
      <c r="N1974" t="s">
        <v>295</v>
      </c>
      <c r="O1974" s="1">
        <v>1950</v>
      </c>
      <c r="Q1974" t="s">
        <v>33</v>
      </c>
      <c r="R1974" t="s">
        <v>34</v>
      </c>
      <c r="S1974" t="s">
        <v>35</v>
      </c>
      <c r="T1974" t="s">
        <v>35</v>
      </c>
      <c r="U1974" t="s">
        <v>34</v>
      </c>
      <c r="V1974" t="str">
        <f>""</f>
        <v/>
      </c>
      <c r="W1974">
        <v>20150215</v>
      </c>
      <c r="X1974" t="s">
        <v>990</v>
      </c>
      <c r="Y1974" t="s">
        <v>1004</v>
      </c>
      <c r="Z1974" t="s">
        <v>1004</v>
      </c>
      <c r="AA1974">
        <v>0</v>
      </c>
      <c r="AB1974" t="s">
        <v>142</v>
      </c>
      <c r="AC1974" t="s">
        <v>992</v>
      </c>
      <c r="AD1974" t="s">
        <v>144</v>
      </c>
      <c r="AE1974" t="str">
        <f t="shared" si="612"/>
        <v>02</v>
      </c>
      <c r="AF1974" t="s">
        <v>40</v>
      </c>
    </row>
    <row r="1975" spans="1:32" x14ac:dyDescent="0.25">
      <c r="A1975">
        <v>5</v>
      </c>
      <c r="B1975">
        <v>420</v>
      </c>
      <c r="C1975" t="str">
        <f t="shared" si="606"/>
        <v>00</v>
      </c>
      <c r="D1975">
        <v>2153</v>
      </c>
      <c r="E1975" t="str">
        <f>"00"</f>
        <v>00</v>
      </c>
      <c r="F1975" t="str">
        <f>"011"</f>
        <v>011</v>
      </c>
      <c r="G1975">
        <v>5</v>
      </c>
      <c r="H1975" t="str">
        <f t="shared" si="607"/>
        <v>00</v>
      </c>
      <c r="I1975" t="str">
        <f t="shared" si="598"/>
        <v>0</v>
      </c>
      <c r="J1975" t="str">
        <f t="shared" si="613"/>
        <v>00</v>
      </c>
      <c r="K1975">
        <v>20150215</v>
      </c>
      <c r="L1975" t="str">
        <f>"TRS02A"</f>
        <v>TRS02A</v>
      </c>
      <c r="M1975" t="str">
        <f t="shared" si="609"/>
        <v>00355</v>
      </c>
      <c r="N1975" t="s">
        <v>295</v>
      </c>
      <c r="O1975" s="1">
        <v>7246</v>
      </c>
      <c r="Q1975" t="s">
        <v>33</v>
      </c>
      <c r="R1975" t="s">
        <v>34</v>
      </c>
      <c r="S1975" t="s">
        <v>35</v>
      </c>
      <c r="T1975" t="s">
        <v>35</v>
      </c>
      <c r="U1975" t="s">
        <v>34</v>
      </c>
      <c r="V1975" t="str">
        <f>""</f>
        <v/>
      </c>
      <c r="W1975">
        <v>20150215</v>
      </c>
      <c r="X1975" t="s">
        <v>993</v>
      </c>
      <c r="Y1975" t="s">
        <v>1004</v>
      </c>
      <c r="Z1975" t="s">
        <v>1004</v>
      </c>
      <c r="AA1975">
        <v>0</v>
      </c>
      <c r="AB1975" t="s">
        <v>142</v>
      </c>
      <c r="AC1975" t="s">
        <v>994</v>
      </c>
      <c r="AD1975" t="s">
        <v>144</v>
      </c>
      <c r="AE1975" t="str">
        <f t="shared" si="612"/>
        <v>02</v>
      </c>
      <c r="AF1975" t="s">
        <v>40</v>
      </c>
    </row>
    <row r="1976" spans="1:32" x14ac:dyDescent="0.25">
      <c r="A1976">
        <v>5</v>
      </c>
      <c r="B1976">
        <v>420</v>
      </c>
      <c r="C1976" t="str">
        <f t="shared" si="606"/>
        <v>00</v>
      </c>
      <c r="D1976">
        <v>2153</v>
      </c>
      <c r="E1976" t="str">
        <f>"00"</f>
        <v>00</v>
      </c>
      <c r="F1976" t="str">
        <f>"012"</f>
        <v>012</v>
      </c>
      <c r="G1976">
        <v>5</v>
      </c>
      <c r="H1976" t="str">
        <f t="shared" si="607"/>
        <v>00</v>
      </c>
      <c r="I1976" t="str">
        <f t="shared" si="598"/>
        <v>0</v>
      </c>
      <c r="J1976" t="str">
        <f t="shared" si="613"/>
        <v>00</v>
      </c>
      <c r="K1976">
        <v>20150215</v>
      </c>
      <c r="L1976" t="str">
        <f>"TRS02A"</f>
        <v>TRS02A</v>
      </c>
      <c r="M1976" t="str">
        <f t="shared" si="609"/>
        <v>00355</v>
      </c>
      <c r="N1976" t="s">
        <v>295</v>
      </c>
      <c r="O1976" s="1">
        <v>8024.5</v>
      </c>
      <c r="Q1976" t="s">
        <v>33</v>
      </c>
      <c r="R1976" t="s">
        <v>34</v>
      </c>
      <c r="S1976" t="s">
        <v>35</v>
      </c>
      <c r="T1976" t="s">
        <v>35</v>
      </c>
      <c r="U1976" t="s">
        <v>34</v>
      </c>
      <c r="V1976" t="str">
        <f>""</f>
        <v/>
      </c>
      <c r="W1976">
        <v>20150215</v>
      </c>
      <c r="X1976" t="s">
        <v>995</v>
      </c>
      <c r="Y1976" t="s">
        <v>1004</v>
      </c>
      <c r="Z1976" t="s">
        <v>1004</v>
      </c>
      <c r="AA1976">
        <v>0</v>
      </c>
      <c r="AB1976" t="s">
        <v>142</v>
      </c>
      <c r="AC1976" t="s">
        <v>996</v>
      </c>
      <c r="AD1976" t="s">
        <v>144</v>
      </c>
      <c r="AE1976" t="str">
        <f t="shared" si="612"/>
        <v>02</v>
      </c>
      <c r="AF1976" t="s">
        <v>40</v>
      </c>
    </row>
    <row r="1977" spans="1:32" x14ac:dyDescent="0.25">
      <c r="A1977">
        <v>5</v>
      </c>
      <c r="B1977">
        <v>420</v>
      </c>
      <c r="C1977" t="str">
        <f t="shared" si="606"/>
        <v>00</v>
      </c>
      <c r="D1977">
        <v>2155</v>
      </c>
      <c r="E1977" t="str">
        <f>"00"</f>
        <v>00</v>
      </c>
      <c r="F1977" t="str">
        <f t="shared" ref="F1977:F1983" si="614">"000"</f>
        <v>000</v>
      </c>
      <c r="G1977">
        <v>5</v>
      </c>
      <c r="H1977" t="str">
        <f t="shared" si="607"/>
        <v>00</v>
      </c>
      <c r="I1977" t="str">
        <f t="shared" si="598"/>
        <v>0</v>
      </c>
      <c r="J1977" t="str">
        <f t="shared" si="613"/>
        <v>00</v>
      </c>
      <c r="K1977">
        <v>20150304</v>
      </c>
      <c r="L1977" t="str">
        <f t="shared" ref="L1977:L1983" si="615">"TRS02B"</f>
        <v>TRS02B</v>
      </c>
      <c r="M1977" t="str">
        <f t="shared" si="609"/>
        <v>00355</v>
      </c>
      <c r="N1977" t="s">
        <v>295</v>
      </c>
      <c r="O1977" s="1">
        <v>14848.99</v>
      </c>
      <c r="Q1977" t="s">
        <v>33</v>
      </c>
      <c r="R1977" t="s">
        <v>34</v>
      </c>
      <c r="S1977" t="s">
        <v>35</v>
      </c>
      <c r="T1977" t="s">
        <v>35</v>
      </c>
      <c r="U1977" t="s">
        <v>34</v>
      </c>
      <c r="V1977" t="str">
        <f>""</f>
        <v/>
      </c>
      <c r="W1977">
        <v>20150304</v>
      </c>
      <c r="X1977" t="s">
        <v>997</v>
      </c>
      <c r="Y1977" t="s">
        <v>981</v>
      </c>
      <c r="Z1977" t="s">
        <v>981</v>
      </c>
      <c r="AA1977">
        <v>0</v>
      </c>
      <c r="AB1977" t="s">
        <v>142</v>
      </c>
      <c r="AC1977" t="s">
        <v>39</v>
      </c>
      <c r="AD1977" t="s">
        <v>144</v>
      </c>
      <c r="AE1977" t="str">
        <f t="shared" ref="AE1977:AE1986" si="616">"03"</f>
        <v>03</v>
      </c>
      <c r="AF1977" t="s">
        <v>40</v>
      </c>
    </row>
    <row r="1978" spans="1:32" x14ac:dyDescent="0.25">
      <c r="A1978">
        <v>5</v>
      </c>
      <c r="B1978">
        <v>420</v>
      </c>
      <c r="C1978" t="str">
        <f t="shared" si="606"/>
        <v>00</v>
      </c>
      <c r="D1978">
        <v>2155</v>
      </c>
      <c r="E1978" t="str">
        <f>"01"</f>
        <v>01</v>
      </c>
      <c r="F1978" t="str">
        <f t="shared" si="614"/>
        <v>000</v>
      </c>
      <c r="G1978">
        <v>5</v>
      </c>
      <c r="H1978" t="str">
        <f t="shared" si="607"/>
        <v>00</v>
      </c>
      <c r="I1978" t="str">
        <f t="shared" si="598"/>
        <v>0</v>
      </c>
      <c r="J1978" t="str">
        <f t="shared" si="613"/>
        <v>00</v>
      </c>
      <c r="K1978">
        <v>20150304</v>
      </c>
      <c r="L1978" t="str">
        <f t="shared" si="615"/>
        <v>TRS02B</v>
      </c>
      <c r="M1978" t="str">
        <f t="shared" si="609"/>
        <v>00355</v>
      </c>
      <c r="N1978" t="s">
        <v>295</v>
      </c>
      <c r="O1978">
        <v>971.82</v>
      </c>
      <c r="Q1978" t="s">
        <v>33</v>
      </c>
      <c r="R1978" t="s">
        <v>34</v>
      </c>
      <c r="S1978" t="s">
        <v>35</v>
      </c>
      <c r="T1978" t="s">
        <v>35</v>
      </c>
      <c r="U1978" t="s">
        <v>34</v>
      </c>
      <c r="V1978" t="str">
        <f>""</f>
        <v/>
      </c>
      <c r="W1978">
        <v>20150304</v>
      </c>
      <c r="X1978" t="s">
        <v>998</v>
      </c>
      <c r="Y1978" t="s">
        <v>981</v>
      </c>
      <c r="Z1978" t="s">
        <v>981</v>
      </c>
      <c r="AA1978">
        <v>0</v>
      </c>
      <c r="AB1978" t="s">
        <v>142</v>
      </c>
      <c r="AC1978" t="s">
        <v>39</v>
      </c>
      <c r="AD1978" t="s">
        <v>144</v>
      </c>
      <c r="AE1978" t="str">
        <f t="shared" si="616"/>
        <v>03</v>
      </c>
      <c r="AF1978" t="s">
        <v>40</v>
      </c>
    </row>
    <row r="1979" spans="1:32" x14ac:dyDescent="0.25">
      <c r="A1979">
        <v>5</v>
      </c>
      <c r="B1979">
        <v>420</v>
      </c>
      <c r="C1979" t="str">
        <f t="shared" si="606"/>
        <v>00</v>
      </c>
      <c r="D1979">
        <v>2155</v>
      </c>
      <c r="E1979" t="str">
        <f>"03"</f>
        <v>03</v>
      </c>
      <c r="F1979" t="str">
        <f t="shared" si="614"/>
        <v>000</v>
      </c>
      <c r="G1979">
        <v>5</v>
      </c>
      <c r="H1979" t="str">
        <f t="shared" si="607"/>
        <v>00</v>
      </c>
      <c r="I1979" t="str">
        <f t="shared" si="598"/>
        <v>0</v>
      </c>
      <c r="J1979" t="str">
        <f t="shared" si="613"/>
        <v>00</v>
      </c>
      <c r="K1979">
        <v>20150304</v>
      </c>
      <c r="L1979" t="str">
        <f t="shared" si="615"/>
        <v>TRS02B</v>
      </c>
      <c r="M1979" t="str">
        <f t="shared" si="609"/>
        <v>00355</v>
      </c>
      <c r="N1979" t="s">
        <v>295</v>
      </c>
      <c r="O1979">
        <v>669.93</v>
      </c>
      <c r="Q1979" t="s">
        <v>33</v>
      </c>
      <c r="R1979" t="s">
        <v>34</v>
      </c>
      <c r="S1979" t="s">
        <v>35</v>
      </c>
      <c r="T1979" t="s">
        <v>35</v>
      </c>
      <c r="U1979" t="s">
        <v>34</v>
      </c>
      <c r="V1979" t="str">
        <f>""</f>
        <v/>
      </c>
      <c r="W1979">
        <v>20150304</v>
      </c>
      <c r="X1979" t="s">
        <v>999</v>
      </c>
      <c r="Y1979" t="s">
        <v>981</v>
      </c>
      <c r="Z1979" t="s">
        <v>981</v>
      </c>
      <c r="AA1979">
        <v>0</v>
      </c>
      <c r="AB1979" t="s">
        <v>142</v>
      </c>
      <c r="AC1979" t="s">
        <v>39</v>
      </c>
      <c r="AD1979" t="s">
        <v>144</v>
      </c>
      <c r="AE1979" t="str">
        <f t="shared" si="616"/>
        <v>03</v>
      </c>
      <c r="AF1979" t="s">
        <v>40</v>
      </c>
    </row>
    <row r="1980" spans="1:32" x14ac:dyDescent="0.25">
      <c r="A1980">
        <v>5</v>
      </c>
      <c r="B1980">
        <v>420</v>
      </c>
      <c r="C1980" t="str">
        <f t="shared" si="606"/>
        <v>00</v>
      </c>
      <c r="D1980">
        <v>2155</v>
      </c>
      <c r="E1980" t="str">
        <f>"04"</f>
        <v>04</v>
      </c>
      <c r="F1980" t="str">
        <f t="shared" si="614"/>
        <v>000</v>
      </c>
      <c r="G1980">
        <v>5</v>
      </c>
      <c r="H1980" t="str">
        <f t="shared" si="607"/>
        <v>00</v>
      </c>
      <c r="I1980" t="str">
        <f t="shared" si="598"/>
        <v>0</v>
      </c>
      <c r="J1980" t="str">
        <f t="shared" si="613"/>
        <v>00</v>
      </c>
      <c r="K1980">
        <v>20150304</v>
      </c>
      <c r="L1980" t="str">
        <f t="shared" si="615"/>
        <v>TRS02B</v>
      </c>
      <c r="M1980" t="str">
        <f t="shared" si="609"/>
        <v>00355</v>
      </c>
      <c r="N1980" t="s">
        <v>295</v>
      </c>
      <c r="O1980" s="1">
        <v>1111.18</v>
      </c>
      <c r="Q1980" t="s">
        <v>33</v>
      </c>
      <c r="R1980" t="s">
        <v>34</v>
      </c>
      <c r="S1980" t="s">
        <v>35</v>
      </c>
      <c r="T1980" t="s">
        <v>35</v>
      </c>
      <c r="U1980" t="s">
        <v>34</v>
      </c>
      <c r="V1980" t="str">
        <f>""</f>
        <v/>
      </c>
      <c r="W1980">
        <v>20150304</v>
      </c>
      <c r="X1980" t="s">
        <v>1000</v>
      </c>
      <c r="Y1980" t="s">
        <v>981</v>
      </c>
      <c r="Z1980" t="s">
        <v>981</v>
      </c>
      <c r="AA1980">
        <v>0</v>
      </c>
      <c r="AB1980" t="s">
        <v>142</v>
      </c>
      <c r="AC1980" t="s">
        <v>39</v>
      </c>
      <c r="AD1980" t="s">
        <v>144</v>
      </c>
      <c r="AE1980" t="str">
        <f t="shared" si="616"/>
        <v>03</v>
      </c>
      <c r="AF1980" t="s">
        <v>40</v>
      </c>
    </row>
    <row r="1981" spans="1:32" x14ac:dyDescent="0.25">
      <c r="A1981">
        <v>5</v>
      </c>
      <c r="B1981">
        <v>420</v>
      </c>
      <c r="C1981" t="str">
        <f t="shared" si="606"/>
        <v>00</v>
      </c>
      <c r="D1981">
        <v>2155</v>
      </c>
      <c r="E1981" t="str">
        <f>"05"</f>
        <v>05</v>
      </c>
      <c r="F1981" t="str">
        <f t="shared" si="614"/>
        <v>000</v>
      </c>
      <c r="G1981">
        <v>5</v>
      </c>
      <c r="H1981" t="str">
        <f t="shared" si="607"/>
        <v>00</v>
      </c>
      <c r="I1981" t="str">
        <f t="shared" si="598"/>
        <v>0</v>
      </c>
      <c r="J1981" t="str">
        <f t="shared" si="613"/>
        <v>00</v>
      </c>
      <c r="K1981">
        <v>20150304</v>
      </c>
      <c r="L1981" t="str">
        <f t="shared" si="615"/>
        <v>TRS02B</v>
      </c>
      <c r="M1981" t="str">
        <f t="shared" si="609"/>
        <v>00355</v>
      </c>
      <c r="N1981" t="s">
        <v>295</v>
      </c>
      <c r="O1981">
        <v>357.04</v>
      </c>
      <c r="Q1981" t="s">
        <v>33</v>
      </c>
      <c r="R1981" t="s">
        <v>34</v>
      </c>
      <c r="S1981" t="s">
        <v>35</v>
      </c>
      <c r="T1981" t="s">
        <v>35</v>
      </c>
      <c r="U1981" t="s">
        <v>34</v>
      </c>
      <c r="V1981" t="str">
        <f>""</f>
        <v/>
      </c>
      <c r="W1981">
        <v>20150304</v>
      </c>
      <c r="X1981" t="s">
        <v>1001</v>
      </c>
      <c r="Y1981" t="s">
        <v>981</v>
      </c>
      <c r="Z1981" t="s">
        <v>981</v>
      </c>
      <c r="AA1981">
        <v>0</v>
      </c>
      <c r="AB1981" t="s">
        <v>142</v>
      </c>
      <c r="AC1981" t="s">
        <v>39</v>
      </c>
      <c r="AD1981" t="s">
        <v>144</v>
      </c>
      <c r="AE1981" t="str">
        <f t="shared" si="616"/>
        <v>03</v>
      </c>
      <c r="AF1981" t="s">
        <v>40</v>
      </c>
    </row>
    <row r="1982" spans="1:32" x14ac:dyDescent="0.25">
      <c r="A1982">
        <v>5</v>
      </c>
      <c r="B1982">
        <v>420</v>
      </c>
      <c r="C1982" t="str">
        <f t="shared" ref="C1982:C2013" si="617">"00"</f>
        <v>00</v>
      </c>
      <c r="D1982">
        <v>2155</v>
      </c>
      <c r="E1982" t="str">
        <f>"06"</f>
        <v>06</v>
      </c>
      <c r="F1982" t="str">
        <f t="shared" si="614"/>
        <v>000</v>
      </c>
      <c r="G1982">
        <v>5</v>
      </c>
      <c r="H1982" t="str">
        <f t="shared" ref="H1982:H2013" si="618">"00"</f>
        <v>00</v>
      </c>
      <c r="I1982" t="str">
        <f t="shared" si="598"/>
        <v>0</v>
      </c>
      <c r="J1982" t="str">
        <f t="shared" si="613"/>
        <v>00</v>
      </c>
      <c r="K1982">
        <v>20150304</v>
      </c>
      <c r="L1982" t="str">
        <f t="shared" si="615"/>
        <v>TRS02B</v>
      </c>
      <c r="M1982" t="str">
        <f t="shared" si="609"/>
        <v>00355</v>
      </c>
      <c r="N1982" t="s">
        <v>295</v>
      </c>
      <c r="O1982">
        <v>354</v>
      </c>
      <c r="Q1982" t="s">
        <v>33</v>
      </c>
      <c r="R1982" t="s">
        <v>34</v>
      </c>
      <c r="S1982" t="s">
        <v>35</v>
      </c>
      <c r="T1982" t="s">
        <v>35</v>
      </c>
      <c r="U1982" t="s">
        <v>34</v>
      </c>
      <c r="V1982" t="str">
        <f>""</f>
        <v/>
      </c>
      <c r="W1982">
        <v>20150304</v>
      </c>
      <c r="X1982" t="s">
        <v>1002</v>
      </c>
      <c r="Y1982" t="s">
        <v>981</v>
      </c>
      <c r="Z1982" t="s">
        <v>981</v>
      </c>
      <c r="AA1982">
        <v>0</v>
      </c>
      <c r="AB1982" t="s">
        <v>142</v>
      </c>
      <c r="AC1982" t="s">
        <v>39</v>
      </c>
      <c r="AD1982" t="s">
        <v>144</v>
      </c>
      <c r="AE1982" t="str">
        <f t="shared" si="616"/>
        <v>03</v>
      </c>
      <c r="AF1982" t="s">
        <v>40</v>
      </c>
    </row>
    <row r="1983" spans="1:32" x14ac:dyDescent="0.25">
      <c r="A1983">
        <v>5</v>
      </c>
      <c r="B1983">
        <v>420</v>
      </c>
      <c r="C1983" t="str">
        <f t="shared" si="617"/>
        <v>00</v>
      </c>
      <c r="D1983">
        <v>2155</v>
      </c>
      <c r="E1983" t="str">
        <f>"08"</f>
        <v>08</v>
      </c>
      <c r="F1983" t="str">
        <f t="shared" si="614"/>
        <v>000</v>
      </c>
      <c r="G1983">
        <v>5</v>
      </c>
      <c r="H1983" t="str">
        <f t="shared" si="618"/>
        <v>00</v>
      </c>
      <c r="I1983" t="str">
        <f t="shared" si="598"/>
        <v>0</v>
      </c>
      <c r="J1983" t="str">
        <f t="shared" si="613"/>
        <v>00</v>
      </c>
      <c r="K1983">
        <v>20150304</v>
      </c>
      <c r="L1983" t="str">
        <f t="shared" si="615"/>
        <v>TRS02B</v>
      </c>
      <c r="M1983" t="str">
        <f t="shared" si="609"/>
        <v>00355</v>
      </c>
      <c r="N1983" t="s">
        <v>295</v>
      </c>
      <c r="O1983" s="1">
        <v>2962.19</v>
      </c>
      <c r="Q1983" t="s">
        <v>33</v>
      </c>
      <c r="R1983" t="s">
        <v>34</v>
      </c>
      <c r="S1983" t="s">
        <v>35</v>
      </c>
      <c r="T1983" t="s">
        <v>35</v>
      </c>
      <c r="U1983" t="s">
        <v>34</v>
      </c>
      <c r="V1983" t="str">
        <f>""</f>
        <v/>
      </c>
      <c r="W1983">
        <v>20150304</v>
      </c>
      <c r="X1983" t="s">
        <v>1003</v>
      </c>
      <c r="Y1983" t="s">
        <v>981</v>
      </c>
      <c r="Z1983" t="s">
        <v>981</v>
      </c>
      <c r="AA1983">
        <v>0</v>
      </c>
      <c r="AB1983" t="s">
        <v>142</v>
      </c>
      <c r="AC1983" t="s">
        <v>39</v>
      </c>
      <c r="AD1983" t="s">
        <v>144</v>
      </c>
      <c r="AE1983" t="str">
        <f t="shared" si="616"/>
        <v>03</v>
      </c>
      <c r="AF1983" t="s">
        <v>40</v>
      </c>
    </row>
    <row r="1984" spans="1:32" x14ac:dyDescent="0.25">
      <c r="A1984">
        <v>5</v>
      </c>
      <c r="B1984">
        <v>420</v>
      </c>
      <c r="C1984" t="str">
        <f t="shared" si="617"/>
        <v>00</v>
      </c>
      <c r="D1984">
        <v>2153</v>
      </c>
      <c r="E1984" t="str">
        <f>"00"</f>
        <v>00</v>
      </c>
      <c r="F1984" t="str">
        <f>"010"</f>
        <v>010</v>
      </c>
      <c r="G1984">
        <v>5</v>
      </c>
      <c r="H1984" t="str">
        <f t="shared" si="618"/>
        <v>00</v>
      </c>
      <c r="I1984" t="str">
        <f t="shared" si="598"/>
        <v>0</v>
      </c>
      <c r="J1984" t="str">
        <f t="shared" si="613"/>
        <v>00</v>
      </c>
      <c r="K1984">
        <v>20150320</v>
      </c>
      <c r="L1984" t="str">
        <f>"TRS03A"</f>
        <v>TRS03A</v>
      </c>
      <c r="M1984" t="str">
        <f t="shared" si="609"/>
        <v>00355</v>
      </c>
      <c r="N1984" t="s">
        <v>295</v>
      </c>
      <c r="O1984" s="1">
        <v>1625</v>
      </c>
      <c r="Q1984" t="s">
        <v>33</v>
      </c>
      <c r="R1984" t="s">
        <v>34</v>
      </c>
      <c r="S1984" t="s">
        <v>35</v>
      </c>
      <c r="T1984" t="s">
        <v>35</v>
      </c>
      <c r="U1984" t="s">
        <v>34</v>
      </c>
      <c r="V1984" t="str">
        <f>""</f>
        <v/>
      </c>
      <c r="W1984">
        <v>20150320</v>
      </c>
      <c r="X1984" t="s">
        <v>990</v>
      </c>
      <c r="Y1984" t="s">
        <v>1005</v>
      </c>
      <c r="Z1984" t="s">
        <v>1005</v>
      </c>
      <c r="AA1984">
        <v>0</v>
      </c>
      <c r="AB1984" t="s">
        <v>142</v>
      </c>
      <c r="AC1984" t="s">
        <v>992</v>
      </c>
      <c r="AD1984" t="s">
        <v>144</v>
      </c>
      <c r="AE1984" t="str">
        <f t="shared" si="616"/>
        <v>03</v>
      </c>
      <c r="AF1984" t="s">
        <v>40</v>
      </c>
    </row>
    <row r="1985" spans="1:32" x14ac:dyDescent="0.25">
      <c r="A1985">
        <v>5</v>
      </c>
      <c r="B1985">
        <v>420</v>
      </c>
      <c r="C1985" t="str">
        <f t="shared" si="617"/>
        <v>00</v>
      </c>
      <c r="D1985">
        <v>2153</v>
      </c>
      <c r="E1985" t="str">
        <f>"00"</f>
        <v>00</v>
      </c>
      <c r="F1985" t="str">
        <f>"011"</f>
        <v>011</v>
      </c>
      <c r="G1985">
        <v>5</v>
      </c>
      <c r="H1985" t="str">
        <f t="shared" si="618"/>
        <v>00</v>
      </c>
      <c r="I1985" t="str">
        <f t="shared" si="598"/>
        <v>0</v>
      </c>
      <c r="J1985" t="str">
        <f t="shared" si="613"/>
        <v>00</v>
      </c>
      <c r="K1985">
        <v>20150320</v>
      </c>
      <c r="L1985" t="str">
        <f>"TRS03A"</f>
        <v>TRS03A</v>
      </c>
      <c r="M1985" t="str">
        <f t="shared" si="609"/>
        <v>00355</v>
      </c>
      <c r="N1985" t="s">
        <v>295</v>
      </c>
      <c r="O1985" s="1">
        <v>7246</v>
      </c>
      <c r="Q1985" t="s">
        <v>33</v>
      </c>
      <c r="R1985" t="s">
        <v>34</v>
      </c>
      <c r="S1985" t="s">
        <v>35</v>
      </c>
      <c r="T1985" t="s">
        <v>35</v>
      </c>
      <c r="U1985" t="s">
        <v>34</v>
      </c>
      <c r="V1985" t="str">
        <f>""</f>
        <v/>
      </c>
      <c r="W1985">
        <v>20150320</v>
      </c>
      <c r="X1985" t="s">
        <v>993</v>
      </c>
      <c r="Y1985" t="s">
        <v>1005</v>
      </c>
      <c r="Z1985" t="s">
        <v>1005</v>
      </c>
      <c r="AA1985">
        <v>0</v>
      </c>
      <c r="AB1985" t="s">
        <v>142</v>
      </c>
      <c r="AC1985" t="s">
        <v>994</v>
      </c>
      <c r="AD1985" t="s">
        <v>144</v>
      </c>
      <c r="AE1985" t="str">
        <f t="shared" si="616"/>
        <v>03</v>
      </c>
      <c r="AF1985" t="s">
        <v>40</v>
      </c>
    </row>
    <row r="1986" spans="1:32" x14ac:dyDescent="0.25">
      <c r="A1986">
        <v>5</v>
      </c>
      <c r="B1986">
        <v>420</v>
      </c>
      <c r="C1986" t="str">
        <f t="shared" si="617"/>
        <v>00</v>
      </c>
      <c r="D1986">
        <v>2153</v>
      </c>
      <c r="E1986" t="str">
        <f>"00"</f>
        <v>00</v>
      </c>
      <c r="F1986" t="str">
        <f>"012"</f>
        <v>012</v>
      </c>
      <c r="G1986">
        <v>5</v>
      </c>
      <c r="H1986" t="str">
        <f t="shared" si="618"/>
        <v>00</v>
      </c>
      <c r="I1986" t="str">
        <f t="shared" ref="I1986:I2049" si="619">"0"</f>
        <v>0</v>
      </c>
      <c r="J1986" t="str">
        <f t="shared" si="613"/>
        <v>00</v>
      </c>
      <c r="K1986">
        <v>20150320</v>
      </c>
      <c r="L1986" t="str">
        <f>"TRS03A"</f>
        <v>TRS03A</v>
      </c>
      <c r="M1986" t="str">
        <f t="shared" si="609"/>
        <v>00355</v>
      </c>
      <c r="N1986" t="s">
        <v>295</v>
      </c>
      <c r="O1986" s="1">
        <v>8259.5</v>
      </c>
      <c r="Q1986" t="s">
        <v>33</v>
      </c>
      <c r="R1986" t="s">
        <v>34</v>
      </c>
      <c r="S1986" t="s">
        <v>35</v>
      </c>
      <c r="T1986" t="s">
        <v>35</v>
      </c>
      <c r="U1986" t="s">
        <v>34</v>
      </c>
      <c r="V1986" t="str">
        <f>""</f>
        <v/>
      </c>
      <c r="W1986">
        <v>20150320</v>
      </c>
      <c r="X1986" t="s">
        <v>995</v>
      </c>
      <c r="Y1986" t="s">
        <v>1005</v>
      </c>
      <c r="Z1986" t="s">
        <v>1005</v>
      </c>
      <c r="AA1986">
        <v>0</v>
      </c>
      <c r="AB1986" t="s">
        <v>142</v>
      </c>
      <c r="AC1986" t="s">
        <v>996</v>
      </c>
      <c r="AD1986" t="s">
        <v>144</v>
      </c>
      <c r="AE1986" t="str">
        <f t="shared" si="616"/>
        <v>03</v>
      </c>
      <c r="AF1986" t="s">
        <v>40</v>
      </c>
    </row>
    <row r="1987" spans="1:32" x14ac:dyDescent="0.25">
      <c r="A1987">
        <v>5</v>
      </c>
      <c r="B1987">
        <v>420</v>
      </c>
      <c r="C1987" t="str">
        <f t="shared" si="617"/>
        <v>00</v>
      </c>
      <c r="D1987">
        <v>2155</v>
      </c>
      <c r="E1987" t="str">
        <f>"00"</f>
        <v>00</v>
      </c>
      <c r="F1987" t="str">
        <f t="shared" ref="F1987:F1993" si="620">"000"</f>
        <v>000</v>
      </c>
      <c r="G1987">
        <v>5</v>
      </c>
      <c r="H1987" t="str">
        <f t="shared" si="618"/>
        <v>00</v>
      </c>
      <c r="I1987" t="str">
        <f t="shared" si="619"/>
        <v>0</v>
      </c>
      <c r="J1987" t="str">
        <f t="shared" si="613"/>
        <v>00</v>
      </c>
      <c r="K1987">
        <v>20150401</v>
      </c>
      <c r="L1987" t="str">
        <f t="shared" ref="L1987:L1993" si="621">"TRS03B"</f>
        <v>TRS03B</v>
      </c>
      <c r="M1987" t="str">
        <f t="shared" si="609"/>
        <v>00355</v>
      </c>
      <c r="N1987" t="s">
        <v>295</v>
      </c>
      <c r="O1987" s="1">
        <v>13223.73</v>
      </c>
      <c r="Q1987" t="s">
        <v>33</v>
      </c>
      <c r="R1987" t="s">
        <v>34</v>
      </c>
      <c r="S1987" t="s">
        <v>35</v>
      </c>
      <c r="T1987" t="s">
        <v>35</v>
      </c>
      <c r="U1987" t="s">
        <v>34</v>
      </c>
      <c r="V1987" t="str">
        <f>""</f>
        <v/>
      </c>
      <c r="W1987">
        <v>20150401</v>
      </c>
      <c r="X1987" t="s">
        <v>997</v>
      </c>
      <c r="Y1987" t="s">
        <v>982</v>
      </c>
      <c r="Z1987" t="s">
        <v>982</v>
      </c>
      <c r="AA1987">
        <v>0</v>
      </c>
      <c r="AB1987" t="s">
        <v>142</v>
      </c>
      <c r="AC1987" t="s">
        <v>39</v>
      </c>
      <c r="AD1987" t="s">
        <v>144</v>
      </c>
      <c r="AE1987" t="str">
        <f t="shared" ref="AE1987:AE1996" si="622">"04"</f>
        <v>04</v>
      </c>
      <c r="AF1987" t="s">
        <v>40</v>
      </c>
    </row>
    <row r="1988" spans="1:32" x14ac:dyDescent="0.25">
      <c r="A1988">
        <v>5</v>
      </c>
      <c r="B1988">
        <v>420</v>
      </c>
      <c r="C1988" t="str">
        <f t="shared" si="617"/>
        <v>00</v>
      </c>
      <c r="D1988">
        <v>2155</v>
      </c>
      <c r="E1988" t="str">
        <f>"01"</f>
        <v>01</v>
      </c>
      <c r="F1988" t="str">
        <f t="shared" si="620"/>
        <v>000</v>
      </c>
      <c r="G1988">
        <v>5</v>
      </c>
      <c r="H1988" t="str">
        <f t="shared" si="618"/>
        <v>00</v>
      </c>
      <c r="I1988" t="str">
        <f t="shared" si="619"/>
        <v>0</v>
      </c>
      <c r="J1988" t="str">
        <f t="shared" si="613"/>
        <v>00</v>
      </c>
      <c r="K1988">
        <v>20150401</v>
      </c>
      <c r="L1988" t="str">
        <f t="shared" si="621"/>
        <v>TRS03B</v>
      </c>
      <c r="M1988" t="str">
        <f t="shared" si="609"/>
        <v>00355</v>
      </c>
      <c r="N1988" t="s">
        <v>295</v>
      </c>
      <c r="O1988">
        <v>860.95</v>
      </c>
      <c r="Q1988" t="s">
        <v>33</v>
      </c>
      <c r="R1988" t="s">
        <v>34</v>
      </c>
      <c r="S1988" t="s">
        <v>35</v>
      </c>
      <c r="T1988" t="s">
        <v>35</v>
      </c>
      <c r="U1988" t="s">
        <v>34</v>
      </c>
      <c r="V1988" t="str">
        <f>""</f>
        <v/>
      </c>
      <c r="W1988">
        <v>20150401</v>
      </c>
      <c r="X1988" t="s">
        <v>998</v>
      </c>
      <c r="Y1988" t="s">
        <v>982</v>
      </c>
      <c r="Z1988" t="s">
        <v>982</v>
      </c>
      <c r="AA1988">
        <v>0</v>
      </c>
      <c r="AB1988" t="s">
        <v>142</v>
      </c>
      <c r="AC1988" t="s">
        <v>39</v>
      </c>
      <c r="AD1988" t="s">
        <v>144</v>
      </c>
      <c r="AE1988" t="str">
        <f t="shared" si="622"/>
        <v>04</v>
      </c>
      <c r="AF1988" t="s">
        <v>40</v>
      </c>
    </row>
    <row r="1989" spans="1:32" x14ac:dyDescent="0.25">
      <c r="A1989">
        <v>5</v>
      </c>
      <c r="B1989">
        <v>420</v>
      </c>
      <c r="C1989" t="str">
        <f t="shared" si="617"/>
        <v>00</v>
      </c>
      <c r="D1989">
        <v>2155</v>
      </c>
      <c r="E1989" t="str">
        <f>"03"</f>
        <v>03</v>
      </c>
      <c r="F1989" t="str">
        <f t="shared" si="620"/>
        <v>000</v>
      </c>
      <c r="G1989">
        <v>5</v>
      </c>
      <c r="H1989" t="str">
        <f t="shared" si="618"/>
        <v>00</v>
      </c>
      <c r="I1989" t="str">
        <f t="shared" si="619"/>
        <v>0</v>
      </c>
      <c r="J1989" t="str">
        <f t="shared" si="613"/>
        <v>00</v>
      </c>
      <c r="K1989">
        <v>20150401</v>
      </c>
      <c r="L1989" t="str">
        <f t="shared" si="621"/>
        <v>TRS03B</v>
      </c>
      <c r="M1989" t="str">
        <f t="shared" si="609"/>
        <v>00355</v>
      </c>
      <c r="N1989" t="s">
        <v>295</v>
      </c>
      <c r="O1989">
        <v>126.62</v>
      </c>
      <c r="Q1989" t="s">
        <v>33</v>
      </c>
      <c r="R1989" t="s">
        <v>34</v>
      </c>
      <c r="S1989" t="s">
        <v>35</v>
      </c>
      <c r="T1989" t="s">
        <v>35</v>
      </c>
      <c r="U1989" t="s">
        <v>34</v>
      </c>
      <c r="V1989" t="str">
        <f>""</f>
        <v/>
      </c>
      <c r="W1989">
        <v>20150401</v>
      </c>
      <c r="X1989" t="s">
        <v>999</v>
      </c>
      <c r="Y1989" t="s">
        <v>982</v>
      </c>
      <c r="Z1989" t="s">
        <v>982</v>
      </c>
      <c r="AA1989">
        <v>0</v>
      </c>
      <c r="AB1989" t="s">
        <v>142</v>
      </c>
      <c r="AC1989" t="s">
        <v>39</v>
      </c>
      <c r="AD1989" t="s">
        <v>144</v>
      </c>
      <c r="AE1989" t="str">
        <f t="shared" si="622"/>
        <v>04</v>
      </c>
      <c r="AF1989" t="s">
        <v>40</v>
      </c>
    </row>
    <row r="1990" spans="1:32" x14ac:dyDescent="0.25">
      <c r="A1990">
        <v>5</v>
      </c>
      <c r="B1990">
        <v>420</v>
      </c>
      <c r="C1990" t="str">
        <f t="shared" si="617"/>
        <v>00</v>
      </c>
      <c r="D1990">
        <v>2155</v>
      </c>
      <c r="E1990" t="str">
        <f>"04"</f>
        <v>04</v>
      </c>
      <c r="F1990" t="str">
        <f t="shared" si="620"/>
        <v>000</v>
      </c>
      <c r="G1990">
        <v>5</v>
      </c>
      <c r="H1990" t="str">
        <f t="shared" si="618"/>
        <v>00</v>
      </c>
      <c r="I1990" t="str">
        <f t="shared" si="619"/>
        <v>0</v>
      </c>
      <c r="J1990" t="str">
        <f t="shared" si="613"/>
        <v>00</v>
      </c>
      <c r="K1990">
        <v>20150401</v>
      </c>
      <c r="L1990" t="str">
        <f t="shared" si="621"/>
        <v>TRS03B</v>
      </c>
      <c r="M1990" t="str">
        <f t="shared" si="609"/>
        <v>00355</v>
      </c>
      <c r="N1990" t="s">
        <v>295</v>
      </c>
      <c r="O1990">
        <v>989.56</v>
      </c>
      <c r="Q1990" t="s">
        <v>33</v>
      </c>
      <c r="R1990" t="s">
        <v>34</v>
      </c>
      <c r="S1990" t="s">
        <v>35</v>
      </c>
      <c r="T1990" t="s">
        <v>35</v>
      </c>
      <c r="U1990" t="s">
        <v>34</v>
      </c>
      <c r="V1990" t="str">
        <f>""</f>
        <v/>
      </c>
      <c r="W1990">
        <v>20150401</v>
      </c>
      <c r="X1990" t="s">
        <v>1000</v>
      </c>
      <c r="Y1990" t="s">
        <v>982</v>
      </c>
      <c r="Z1990" t="s">
        <v>982</v>
      </c>
      <c r="AA1990">
        <v>0</v>
      </c>
      <c r="AB1990" t="s">
        <v>142</v>
      </c>
      <c r="AC1990" t="s">
        <v>39</v>
      </c>
      <c r="AD1990" t="s">
        <v>144</v>
      </c>
      <c r="AE1990" t="str">
        <f t="shared" si="622"/>
        <v>04</v>
      </c>
      <c r="AF1990" t="s">
        <v>40</v>
      </c>
    </row>
    <row r="1991" spans="1:32" x14ac:dyDescent="0.25">
      <c r="A1991">
        <v>5</v>
      </c>
      <c r="B1991">
        <v>420</v>
      </c>
      <c r="C1991" t="str">
        <f t="shared" si="617"/>
        <v>00</v>
      </c>
      <c r="D1991">
        <v>2155</v>
      </c>
      <c r="E1991" t="str">
        <f>"05"</f>
        <v>05</v>
      </c>
      <c r="F1991" t="str">
        <f t="shared" si="620"/>
        <v>000</v>
      </c>
      <c r="G1991">
        <v>5</v>
      </c>
      <c r="H1991" t="str">
        <f t="shared" si="618"/>
        <v>00</v>
      </c>
      <c r="I1991" t="str">
        <f t="shared" si="619"/>
        <v>0</v>
      </c>
      <c r="J1991" t="str">
        <f t="shared" si="613"/>
        <v>00</v>
      </c>
      <c r="K1991">
        <v>20150401</v>
      </c>
      <c r="L1991" t="str">
        <f t="shared" si="621"/>
        <v>TRS03B</v>
      </c>
      <c r="M1991" t="str">
        <f t="shared" si="609"/>
        <v>00355</v>
      </c>
      <c r="N1991" t="s">
        <v>295</v>
      </c>
      <c r="O1991">
        <v>67.67</v>
      </c>
      <c r="Q1991" t="s">
        <v>33</v>
      </c>
      <c r="R1991" t="s">
        <v>34</v>
      </c>
      <c r="S1991" t="s">
        <v>35</v>
      </c>
      <c r="T1991" t="s">
        <v>35</v>
      </c>
      <c r="U1991" t="s">
        <v>34</v>
      </c>
      <c r="V1991" t="str">
        <f>""</f>
        <v/>
      </c>
      <c r="W1991">
        <v>20150401</v>
      </c>
      <c r="X1991" t="s">
        <v>1001</v>
      </c>
      <c r="Y1991" t="s">
        <v>982</v>
      </c>
      <c r="Z1991" t="s">
        <v>982</v>
      </c>
      <c r="AA1991">
        <v>0</v>
      </c>
      <c r="AB1991" t="s">
        <v>142</v>
      </c>
      <c r="AC1991" t="s">
        <v>39</v>
      </c>
      <c r="AD1991" t="s">
        <v>144</v>
      </c>
      <c r="AE1991" t="str">
        <f t="shared" si="622"/>
        <v>04</v>
      </c>
      <c r="AF1991" t="s">
        <v>40</v>
      </c>
    </row>
    <row r="1992" spans="1:32" x14ac:dyDescent="0.25">
      <c r="A1992">
        <v>5</v>
      </c>
      <c r="B1992">
        <v>420</v>
      </c>
      <c r="C1992" t="str">
        <f t="shared" si="617"/>
        <v>00</v>
      </c>
      <c r="D1992">
        <v>2155</v>
      </c>
      <c r="E1992" t="str">
        <f>"06"</f>
        <v>06</v>
      </c>
      <c r="F1992" t="str">
        <f t="shared" si="620"/>
        <v>000</v>
      </c>
      <c r="G1992">
        <v>5</v>
      </c>
      <c r="H1992" t="str">
        <f t="shared" si="618"/>
        <v>00</v>
      </c>
      <c r="I1992" t="str">
        <f t="shared" si="619"/>
        <v>0</v>
      </c>
      <c r="J1992" t="str">
        <f t="shared" si="613"/>
        <v>00</v>
      </c>
      <c r="K1992">
        <v>20150401</v>
      </c>
      <c r="L1992" t="str">
        <f t="shared" si="621"/>
        <v>TRS03B</v>
      </c>
      <c r="M1992" t="str">
        <f t="shared" si="609"/>
        <v>00355</v>
      </c>
      <c r="N1992" t="s">
        <v>295</v>
      </c>
      <c r="O1992">
        <v>298.83</v>
      </c>
      <c r="Q1992" t="s">
        <v>33</v>
      </c>
      <c r="R1992" t="s">
        <v>34</v>
      </c>
      <c r="S1992" t="s">
        <v>35</v>
      </c>
      <c r="T1992" t="s">
        <v>35</v>
      </c>
      <c r="U1992" t="s">
        <v>34</v>
      </c>
      <c r="V1992" t="str">
        <f>""</f>
        <v/>
      </c>
      <c r="W1992">
        <v>20150401</v>
      </c>
      <c r="X1992" t="s">
        <v>1002</v>
      </c>
      <c r="Y1992" t="s">
        <v>982</v>
      </c>
      <c r="Z1992" t="s">
        <v>982</v>
      </c>
      <c r="AA1992">
        <v>0</v>
      </c>
      <c r="AB1992" t="s">
        <v>142</v>
      </c>
      <c r="AC1992" t="s">
        <v>39</v>
      </c>
      <c r="AD1992" t="s">
        <v>144</v>
      </c>
      <c r="AE1992" t="str">
        <f t="shared" si="622"/>
        <v>04</v>
      </c>
      <c r="AF1992" t="s">
        <v>40</v>
      </c>
    </row>
    <row r="1993" spans="1:32" x14ac:dyDescent="0.25">
      <c r="A1993">
        <v>5</v>
      </c>
      <c r="B1993">
        <v>420</v>
      </c>
      <c r="C1993" t="str">
        <f t="shared" si="617"/>
        <v>00</v>
      </c>
      <c r="D1993">
        <v>2155</v>
      </c>
      <c r="E1993" t="str">
        <f>"08"</f>
        <v>08</v>
      </c>
      <c r="F1993" t="str">
        <f t="shared" si="620"/>
        <v>000</v>
      </c>
      <c r="G1993">
        <v>5</v>
      </c>
      <c r="H1993" t="str">
        <f t="shared" si="618"/>
        <v>00</v>
      </c>
      <c r="I1993" t="str">
        <f t="shared" si="619"/>
        <v>0</v>
      </c>
      <c r="J1993" t="str">
        <f t="shared" si="613"/>
        <v>00</v>
      </c>
      <c r="K1993">
        <v>20150401</v>
      </c>
      <c r="L1993" t="str">
        <f t="shared" si="621"/>
        <v>TRS03B</v>
      </c>
      <c r="M1993" t="str">
        <f t="shared" si="609"/>
        <v>00355</v>
      </c>
      <c r="N1993" t="s">
        <v>295</v>
      </c>
      <c r="O1993" s="1">
        <v>2659.28</v>
      </c>
      <c r="Q1993" t="s">
        <v>33</v>
      </c>
      <c r="R1993" t="s">
        <v>34</v>
      </c>
      <c r="S1993" t="s">
        <v>35</v>
      </c>
      <c r="T1993" t="s">
        <v>35</v>
      </c>
      <c r="U1993" t="s">
        <v>34</v>
      </c>
      <c r="V1993" t="str">
        <f>""</f>
        <v/>
      </c>
      <c r="W1993">
        <v>20150401</v>
      </c>
      <c r="X1993" t="s">
        <v>1003</v>
      </c>
      <c r="Y1993" t="s">
        <v>982</v>
      </c>
      <c r="Z1993" t="s">
        <v>982</v>
      </c>
      <c r="AA1993">
        <v>0</v>
      </c>
      <c r="AB1993" t="s">
        <v>142</v>
      </c>
      <c r="AC1993" t="s">
        <v>39</v>
      </c>
      <c r="AD1993" t="s">
        <v>144</v>
      </c>
      <c r="AE1993" t="str">
        <f t="shared" si="622"/>
        <v>04</v>
      </c>
      <c r="AF1993" t="s">
        <v>40</v>
      </c>
    </row>
    <row r="1994" spans="1:32" x14ac:dyDescent="0.25">
      <c r="A1994">
        <v>5</v>
      </c>
      <c r="B1994">
        <v>420</v>
      </c>
      <c r="C1994" t="str">
        <f t="shared" si="617"/>
        <v>00</v>
      </c>
      <c r="D1994">
        <v>2153</v>
      </c>
      <c r="E1994" t="str">
        <f>"00"</f>
        <v>00</v>
      </c>
      <c r="F1994" t="str">
        <f>"010"</f>
        <v>010</v>
      </c>
      <c r="G1994">
        <v>5</v>
      </c>
      <c r="H1994" t="str">
        <f t="shared" si="618"/>
        <v>00</v>
      </c>
      <c r="I1994" t="str">
        <f t="shared" si="619"/>
        <v>0</v>
      </c>
      <c r="J1994" t="str">
        <f t="shared" si="613"/>
        <v>00</v>
      </c>
      <c r="K1994">
        <v>20150423</v>
      </c>
      <c r="L1994" t="str">
        <f>"TRS04A"</f>
        <v>TRS04A</v>
      </c>
      <c r="M1994" t="str">
        <f t="shared" si="609"/>
        <v>00355</v>
      </c>
      <c r="N1994" t="s">
        <v>295</v>
      </c>
      <c r="O1994" s="1">
        <v>1625</v>
      </c>
      <c r="Q1994" t="s">
        <v>33</v>
      </c>
      <c r="R1994" t="s">
        <v>34</v>
      </c>
      <c r="S1994" t="s">
        <v>35</v>
      </c>
      <c r="T1994" t="s">
        <v>35</v>
      </c>
      <c r="U1994" t="s">
        <v>34</v>
      </c>
      <c r="V1994" t="str">
        <f>""</f>
        <v/>
      </c>
      <c r="W1994">
        <v>20150423</v>
      </c>
      <c r="X1994" t="s">
        <v>990</v>
      </c>
      <c r="Y1994" t="s">
        <v>1006</v>
      </c>
      <c r="Z1994" t="s">
        <v>1006</v>
      </c>
      <c r="AA1994">
        <v>0</v>
      </c>
      <c r="AB1994" t="s">
        <v>142</v>
      </c>
      <c r="AC1994" t="s">
        <v>992</v>
      </c>
      <c r="AD1994" t="s">
        <v>144</v>
      </c>
      <c r="AE1994" t="str">
        <f t="shared" si="622"/>
        <v>04</v>
      </c>
      <c r="AF1994" t="s">
        <v>40</v>
      </c>
    </row>
    <row r="1995" spans="1:32" x14ac:dyDescent="0.25">
      <c r="A1995">
        <v>5</v>
      </c>
      <c r="B1995">
        <v>420</v>
      </c>
      <c r="C1995" t="str">
        <f t="shared" si="617"/>
        <v>00</v>
      </c>
      <c r="D1995">
        <v>2153</v>
      </c>
      <c r="E1995" t="str">
        <f>"00"</f>
        <v>00</v>
      </c>
      <c r="F1995" t="str">
        <f>"011"</f>
        <v>011</v>
      </c>
      <c r="G1995">
        <v>5</v>
      </c>
      <c r="H1995" t="str">
        <f t="shared" si="618"/>
        <v>00</v>
      </c>
      <c r="I1995" t="str">
        <f t="shared" si="619"/>
        <v>0</v>
      </c>
      <c r="J1995" t="str">
        <f t="shared" si="613"/>
        <v>00</v>
      </c>
      <c r="K1995">
        <v>20150423</v>
      </c>
      <c r="L1995" t="str">
        <f>"TRS04A"</f>
        <v>TRS04A</v>
      </c>
      <c r="M1995" t="str">
        <f t="shared" si="609"/>
        <v>00355</v>
      </c>
      <c r="N1995" t="s">
        <v>295</v>
      </c>
      <c r="O1995" s="1">
        <v>7246</v>
      </c>
      <c r="Q1995" t="s">
        <v>33</v>
      </c>
      <c r="R1995" t="s">
        <v>34</v>
      </c>
      <c r="S1995" t="s">
        <v>35</v>
      </c>
      <c r="T1995" t="s">
        <v>35</v>
      </c>
      <c r="U1995" t="s">
        <v>34</v>
      </c>
      <c r="V1995" t="str">
        <f>""</f>
        <v/>
      </c>
      <c r="W1995">
        <v>20150423</v>
      </c>
      <c r="X1995" t="s">
        <v>993</v>
      </c>
      <c r="Y1995" t="s">
        <v>1006</v>
      </c>
      <c r="Z1995" t="s">
        <v>1006</v>
      </c>
      <c r="AA1995">
        <v>0</v>
      </c>
      <c r="AB1995" t="s">
        <v>142</v>
      </c>
      <c r="AC1995" t="s">
        <v>994</v>
      </c>
      <c r="AD1995" t="s">
        <v>144</v>
      </c>
      <c r="AE1995" t="str">
        <f t="shared" si="622"/>
        <v>04</v>
      </c>
      <c r="AF1995" t="s">
        <v>40</v>
      </c>
    </row>
    <row r="1996" spans="1:32" x14ac:dyDescent="0.25">
      <c r="A1996">
        <v>5</v>
      </c>
      <c r="B1996">
        <v>420</v>
      </c>
      <c r="C1996" t="str">
        <f t="shared" si="617"/>
        <v>00</v>
      </c>
      <c r="D1996">
        <v>2153</v>
      </c>
      <c r="E1996" t="str">
        <f>"00"</f>
        <v>00</v>
      </c>
      <c r="F1996" t="str">
        <f>"012"</f>
        <v>012</v>
      </c>
      <c r="G1996">
        <v>5</v>
      </c>
      <c r="H1996" t="str">
        <f t="shared" si="618"/>
        <v>00</v>
      </c>
      <c r="I1996" t="str">
        <f t="shared" si="619"/>
        <v>0</v>
      </c>
      <c r="J1996" t="str">
        <f t="shared" si="613"/>
        <v>00</v>
      </c>
      <c r="K1996">
        <v>20150423</v>
      </c>
      <c r="L1996" t="str">
        <f>"TRS04A"</f>
        <v>TRS04A</v>
      </c>
      <c r="M1996" t="str">
        <f t="shared" ref="M1996:M2027" si="623">"00355"</f>
        <v>00355</v>
      </c>
      <c r="N1996" t="s">
        <v>295</v>
      </c>
      <c r="O1996" s="1">
        <v>8259.5</v>
      </c>
      <c r="Q1996" t="s">
        <v>33</v>
      </c>
      <c r="R1996" t="s">
        <v>34</v>
      </c>
      <c r="S1996" t="s">
        <v>35</v>
      </c>
      <c r="T1996" t="s">
        <v>35</v>
      </c>
      <c r="U1996" t="s">
        <v>34</v>
      </c>
      <c r="V1996" t="str">
        <f>""</f>
        <v/>
      </c>
      <c r="W1996">
        <v>20150423</v>
      </c>
      <c r="X1996" t="s">
        <v>995</v>
      </c>
      <c r="Y1996" t="s">
        <v>1006</v>
      </c>
      <c r="Z1996" t="s">
        <v>1006</v>
      </c>
      <c r="AA1996">
        <v>0</v>
      </c>
      <c r="AB1996" t="s">
        <v>142</v>
      </c>
      <c r="AC1996" t="s">
        <v>996</v>
      </c>
      <c r="AD1996" t="s">
        <v>144</v>
      </c>
      <c r="AE1996" t="str">
        <f t="shared" si="622"/>
        <v>04</v>
      </c>
      <c r="AF1996" t="s">
        <v>40</v>
      </c>
    </row>
    <row r="1997" spans="1:32" x14ac:dyDescent="0.25">
      <c r="A1997">
        <v>5</v>
      </c>
      <c r="B1997">
        <v>420</v>
      </c>
      <c r="C1997" t="str">
        <f t="shared" si="617"/>
        <v>00</v>
      </c>
      <c r="D1997">
        <v>2155</v>
      </c>
      <c r="E1997" t="str">
        <f>"00"</f>
        <v>00</v>
      </c>
      <c r="F1997" t="str">
        <f t="shared" ref="F1997:F2003" si="624">"000"</f>
        <v>000</v>
      </c>
      <c r="G1997">
        <v>5</v>
      </c>
      <c r="H1997" t="str">
        <f t="shared" si="618"/>
        <v>00</v>
      </c>
      <c r="I1997" t="str">
        <f t="shared" si="619"/>
        <v>0</v>
      </c>
      <c r="J1997" t="str">
        <f t="shared" si="613"/>
        <v>00</v>
      </c>
      <c r="K1997">
        <v>20150504</v>
      </c>
      <c r="L1997" t="str">
        <f t="shared" ref="L1997:L2003" si="625">"TRS04B"</f>
        <v>TRS04B</v>
      </c>
      <c r="M1997" t="str">
        <f t="shared" si="623"/>
        <v>00355</v>
      </c>
      <c r="N1997" t="s">
        <v>295</v>
      </c>
      <c r="O1997" s="1">
        <v>13225.25</v>
      </c>
      <c r="Q1997" t="s">
        <v>33</v>
      </c>
      <c r="R1997" t="s">
        <v>34</v>
      </c>
      <c r="S1997" t="s">
        <v>35</v>
      </c>
      <c r="T1997" t="s">
        <v>35</v>
      </c>
      <c r="U1997" t="s">
        <v>34</v>
      </c>
      <c r="V1997" t="str">
        <f>""</f>
        <v/>
      </c>
      <c r="W1997">
        <v>20150504</v>
      </c>
      <c r="X1997" t="s">
        <v>997</v>
      </c>
      <c r="Y1997" t="s">
        <v>983</v>
      </c>
      <c r="Z1997" t="s">
        <v>983</v>
      </c>
      <c r="AA1997">
        <v>0</v>
      </c>
      <c r="AB1997" t="s">
        <v>142</v>
      </c>
      <c r="AC1997" t="s">
        <v>39</v>
      </c>
      <c r="AD1997" t="s">
        <v>144</v>
      </c>
      <c r="AE1997" t="str">
        <f t="shared" ref="AE1997:AE2006" si="626">"05"</f>
        <v>05</v>
      </c>
      <c r="AF1997" t="s">
        <v>40</v>
      </c>
    </row>
    <row r="1998" spans="1:32" x14ac:dyDescent="0.25">
      <c r="A1998">
        <v>5</v>
      </c>
      <c r="B1998">
        <v>420</v>
      </c>
      <c r="C1998" t="str">
        <f t="shared" si="617"/>
        <v>00</v>
      </c>
      <c r="D1998">
        <v>2155</v>
      </c>
      <c r="E1998" t="str">
        <f>"01"</f>
        <v>01</v>
      </c>
      <c r="F1998" t="str">
        <f t="shared" si="624"/>
        <v>000</v>
      </c>
      <c r="G1998">
        <v>5</v>
      </c>
      <c r="H1998" t="str">
        <f t="shared" si="618"/>
        <v>00</v>
      </c>
      <c r="I1998" t="str">
        <f t="shared" si="619"/>
        <v>0</v>
      </c>
      <c r="J1998" t="str">
        <f t="shared" si="613"/>
        <v>00</v>
      </c>
      <c r="K1998">
        <v>20150504</v>
      </c>
      <c r="L1998" t="str">
        <f t="shared" si="625"/>
        <v>TRS04B</v>
      </c>
      <c r="M1998" t="str">
        <f t="shared" si="623"/>
        <v>00355</v>
      </c>
      <c r="N1998" t="s">
        <v>295</v>
      </c>
      <c r="O1998" s="1">
        <v>1052.83</v>
      </c>
      <c r="Q1998" t="s">
        <v>33</v>
      </c>
      <c r="R1998" t="s">
        <v>34</v>
      </c>
      <c r="S1998" t="s">
        <v>35</v>
      </c>
      <c r="T1998" t="s">
        <v>35</v>
      </c>
      <c r="U1998" t="s">
        <v>34</v>
      </c>
      <c r="V1998" t="str">
        <f>""</f>
        <v/>
      </c>
      <c r="W1998">
        <v>20150504</v>
      </c>
      <c r="X1998" t="s">
        <v>998</v>
      </c>
      <c r="Y1998" t="s">
        <v>983</v>
      </c>
      <c r="Z1998" t="s">
        <v>983</v>
      </c>
      <c r="AA1998">
        <v>0</v>
      </c>
      <c r="AB1998" t="s">
        <v>142</v>
      </c>
      <c r="AC1998" t="s">
        <v>39</v>
      </c>
      <c r="AD1998" t="s">
        <v>144</v>
      </c>
      <c r="AE1998" t="str">
        <f t="shared" si="626"/>
        <v>05</v>
      </c>
      <c r="AF1998" t="s">
        <v>40</v>
      </c>
    </row>
    <row r="1999" spans="1:32" x14ac:dyDescent="0.25">
      <c r="A1999">
        <v>5</v>
      </c>
      <c r="B1999">
        <v>420</v>
      </c>
      <c r="C1999" t="str">
        <f t="shared" si="617"/>
        <v>00</v>
      </c>
      <c r="D1999">
        <v>2155</v>
      </c>
      <c r="E1999" t="str">
        <f>"03"</f>
        <v>03</v>
      </c>
      <c r="F1999" t="str">
        <f t="shared" si="624"/>
        <v>000</v>
      </c>
      <c r="G1999">
        <v>5</v>
      </c>
      <c r="H1999" t="str">
        <f t="shared" si="618"/>
        <v>00</v>
      </c>
      <c r="I1999" t="str">
        <f t="shared" si="619"/>
        <v>0</v>
      </c>
      <c r="J1999" t="str">
        <f t="shared" si="613"/>
        <v>00</v>
      </c>
      <c r="K1999">
        <v>20150504</v>
      </c>
      <c r="L1999" t="str">
        <f t="shared" si="625"/>
        <v>TRS04B</v>
      </c>
      <c r="M1999" t="str">
        <f t="shared" si="623"/>
        <v>00355</v>
      </c>
      <c r="N1999" t="s">
        <v>295</v>
      </c>
      <c r="O1999">
        <v>154.83000000000001</v>
      </c>
      <c r="Q1999" t="s">
        <v>33</v>
      </c>
      <c r="R1999" t="s">
        <v>34</v>
      </c>
      <c r="S1999" t="s">
        <v>35</v>
      </c>
      <c r="T1999" t="s">
        <v>35</v>
      </c>
      <c r="U1999" t="s">
        <v>34</v>
      </c>
      <c r="V1999" t="str">
        <f>""</f>
        <v/>
      </c>
      <c r="W1999">
        <v>20150504</v>
      </c>
      <c r="X1999" t="s">
        <v>999</v>
      </c>
      <c r="Y1999" t="s">
        <v>983</v>
      </c>
      <c r="Z1999" t="s">
        <v>983</v>
      </c>
      <c r="AA1999">
        <v>0</v>
      </c>
      <c r="AB1999" t="s">
        <v>142</v>
      </c>
      <c r="AC1999" t="s">
        <v>39</v>
      </c>
      <c r="AD1999" t="s">
        <v>144</v>
      </c>
      <c r="AE1999" t="str">
        <f t="shared" si="626"/>
        <v>05</v>
      </c>
      <c r="AF1999" t="s">
        <v>40</v>
      </c>
    </row>
    <row r="2000" spans="1:32" x14ac:dyDescent="0.25">
      <c r="A2000">
        <v>5</v>
      </c>
      <c r="B2000">
        <v>420</v>
      </c>
      <c r="C2000" t="str">
        <f t="shared" si="617"/>
        <v>00</v>
      </c>
      <c r="D2000">
        <v>2155</v>
      </c>
      <c r="E2000" t="str">
        <f>"04"</f>
        <v>04</v>
      </c>
      <c r="F2000" t="str">
        <f t="shared" si="624"/>
        <v>000</v>
      </c>
      <c r="G2000">
        <v>5</v>
      </c>
      <c r="H2000" t="str">
        <f t="shared" si="618"/>
        <v>00</v>
      </c>
      <c r="I2000" t="str">
        <f t="shared" si="619"/>
        <v>0</v>
      </c>
      <c r="J2000" t="str">
        <f t="shared" si="613"/>
        <v>00</v>
      </c>
      <c r="K2000">
        <v>20150504</v>
      </c>
      <c r="L2000" t="str">
        <f t="shared" si="625"/>
        <v>TRS04B</v>
      </c>
      <c r="M2000" t="str">
        <f t="shared" si="623"/>
        <v>00355</v>
      </c>
      <c r="N2000" t="s">
        <v>295</v>
      </c>
      <c r="O2000">
        <v>989.68</v>
      </c>
      <c r="Q2000" t="s">
        <v>33</v>
      </c>
      <c r="R2000" t="s">
        <v>34</v>
      </c>
      <c r="S2000" t="s">
        <v>35</v>
      </c>
      <c r="T2000" t="s">
        <v>35</v>
      </c>
      <c r="U2000" t="s">
        <v>34</v>
      </c>
      <c r="V2000" t="str">
        <f>""</f>
        <v/>
      </c>
      <c r="W2000">
        <v>20150504</v>
      </c>
      <c r="X2000" t="s">
        <v>1000</v>
      </c>
      <c r="Y2000" t="s">
        <v>983</v>
      </c>
      <c r="Z2000" t="s">
        <v>983</v>
      </c>
      <c r="AA2000">
        <v>0</v>
      </c>
      <c r="AB2000" t="s">
        <v>142</v>
      </c>
      <c r="AC2000" t="s">
        <v>39</v>
      </c>
      <c r="AD2000" t="s">
        <v>144</v>
      </c>
      <c r="AE2000" t="str">
        <f t="shared" si="626"/>
        <v>05</v>
      </c>
      <c r="AF2000" t="s">
        <v>40</v>
      </c>
    </row>
    <row r="2001" spans="1:32" x14ac:dyDescent="0.25">
      <c r="A2001">
        <v>5</v>
      </c>
      <c r="B2001">
        <v>420</v>
      </c>
      <c r="C2001" t="str">
        <f t="shared" si="617"/>
        <v>00</v>
      </c>
      <c r="D2001">
        <v>2155</v>
      </c>
      <c r="E2001" t="str">
        <f>"05"</f>
        <v>05</v>
      </c>
      <c r="F2001" t="str">
        <f t="shared" si="624"/>
        <v>000</v>
      </c>
      <c r="G2001">
        <v>5</v>
      </c>
      <c r="H2001" t="str">
        <f t="shared" si="618"/>
        <v>00</v>
      </c>
      <c r="I2001" t="str">
        <f t="shared" si="619"/>
        <v>0</v>
      </c>
      <c r="J2001" t="str">
        <f t="shared" si="613"/>
        <v>00</v>
      </c>
      <c r="K2001">
        <v>20150504</v>
      </c>
      <c r="L2001" t="str">
        <f t="shared" si="625"/>
        <v>TRS04B</v>
      </c>
      <c r="M2001" t="str">
        <f t="shared" si="623"/>
        <v>00355</v>
      </c>
      <c r="N2001" t="s">
        <v>295</v>
      </c>
      <c r="O2001">
        <v>116.04</v>
      </c>
      <c r="Q2001" t="s">
        <v>33</v>
      </c>
      <c r="R2001" t="s">
        <v>34</v>
      </c>
      <c r="S2001" t="s">
        <v>35</v>
      </c>
      <c r="T2001" t="s">
        <v>35</v>
      </c>
      <c r="U2001" t="s">
        <v>34</v>
      </c>
      <c r="V2001" t="str">
        <f>""</f>
        <v/>
      </c>
      <c r="W2001">
        <v>20150504</v>
      </c>
      <c r="X2001" t="s">
        <v>1001</v>
      </c>
      <c r="Y2001" t="s">
        <v>983</v>
      </c>
      <c r="Z2001" t="s">
        <v>983</v>
      </c>
      <c r="AA2001">
        <v>0</v>
      </c>
      <c r="AB2001" t="s">
        <v>142</v>
      </c>
      <c r="AC2001" t="s">
        <v>39</v>
      </c>
      <c r="AD2001" t="s">
        <v>144</v>
      </c>
      <c r="AE2001" t="str">
        <f t="shared" si="626"/>
        <v>05</v>
      </c>
      <c r="AF2001" t="s">
        <v>40</v>
      </c>
    </row>
    <row r="2002" spans="1:32" x14ac:dyDescent="0.25">
      <c r="A2002">
        <v>5</v>
      </c>
      <c r="B2002">
        <v>420</v>
      </c>
      <c r="C2002" t="str">
        <f t="shared" si="617"/>
        <v>00</v>
      </c>
      <c r="D2002">
        <v>2155</v>
      </c>
      <c r="E2002" t="str">
        <f>"06"</f>
        <v>06</v>
      </c>
      <c r="F2002" t="str">
        <f t="shared" si="624"/>
        <v>000</v>
      </c>
      <c r="G2002">
        <v>5</v>
      </c>
      <c r="H2002" t="str">
        <f t="shared" si="618"/>
        <v>00</v>
      </c>
      <c r="I2002" t="str">
        <f t="shared" si="619"/>
        <v>0</v>
      </c>
      <c r="J2002" t="str">
        <f t="shared" si="613"/>
        <v>00</v>
      </c>
      <c r="K2002">
        <v>20150504</v>
      </c>
      <c r="L2002" t="str">
        <f t="shared" si="625"/>
        <v>TRS04B</v>
      </c>
      <c r="M2002" t="str">
        <f t="shared" si="623"/>
        <v>00355</v>
      </c>
      <c r="N2002" t="s">
        <v>295</v>
      </c>
      <c r="O2002">
        <v>286.33999999999997</v>
      </c>
      <c r="Q2002" t="s">
        <v>33</v>
      </c>
      <c r="R2002" t="s">
        <v>34</v>
      </c>
      <c r="S2002" t="s">
        <v>35</v>
      </c>
      <c r="T2002" t="s">
        <v>35</v>
      </c>
      <c r="U2002" t="s">
        <v>34</v>
      </c>
      <c r="V2002" t="str">
        <f>""</f>
        <v/>
      </c>
      <c r="W2002">
        <v>20150504</v>
      </c>
      <c r="X2002" t="s">
        <v>1002</v>
      </c>
      <c r="Y2002" t="s">
        <v>983</v>
      </c>
      <c r="Z2002" t="s">
        <v>983</v>
      </c>
      <c r="AA2002">
        <v>0</v>
      </c>
      <c r="AB2002" t="s">
        <v>142</v>
      </c>
      <c r="AC2002" t="s">
        <v>39</v>
      </c>
      <c r="AD2002" t="s">
        <v>144</v>
      </c>
      <c r="AE2002" t="str">
        <f t="shared" si="626"/>
        <v>05</v>
      </c>
      <c r="AF2002" t="s">
        <v>40</v>
      </c>
    </row>
    <row r="2003" spans="1:32" x14ac:dyDescent="0.25">
      <c r="A2003">
        <v>5</v>
      </c>
      <c r="B2003">
        <v>420</v>
      </c>
      <c r="C2003" t="str">
        <f t="shared" si="617"/>
        <v>00</v>
      </c>
      <c r="D2003">
        <v>2155</v>
      </c>
      <c r="E2003" t="str">
        <f>"08"</f>
        <v>08</v>
      </c>
      <c r="F2003" t="str">
        <f t="shared" si="624"/>
        <v>000</v>
      </c>
      <c r="G2003">
        <v>5</v>
      </c>
      <c r="H2003" t="str">
        <f t="shared" si="618"/>
        <v>00</v>
      </c>
      <c r="I2003" t="str">
        <f t="shared" si="619"/>
        <v>0</v>
      </c>
      <c r="J2003" t="str">
        <f t="shared" si="613"/>
        <v>00</v>
      </c>
      <c r="K2003">
        <v>20150504</v>
      </c>
      <c r="L2003" t="str">
        <f t="shared" si="625"/>
        <v>TRS04B</v>
      </c>
      <c r="M2003" t="str">
        <f t="shared" si="623"/>
        <v>00355</v>
      </c>
      <c r="N2003" t="s">
        <v>295</v>
      </c>
      <c r="O2003" s="1">
        <v>2644.28</v>
      </c>
      <c r="Q2003" t="s">
        <v>33</v>
      </c>
      <c r="R2003" t="s">
        <v>34</v>
      </c>
      <c r="S2003" t="s">
        <v>35</v>
      </c>
      <c r="T2003" t="s">
        <v>35</v>
      </c>
      <c r="U2003" t="s">
        <v>34</v>
      </c>
      <c r="V2003" t="str">
        <f>""</f>
        <v/>
      </c>
      <c r="W2003">
        <v>20150504</v>
      </c>
      <c r="X2003" t="s">
        <v>1003</v>
      </c>
      <c r="Y2003" t="s">
        <v>983</v>
      </c>
      <c r="Z2003" t="s">
        <v>983</v>
      </c>
      <c r="AA2003">
        <v>0</v>
      </c>
      <c r="AB2003" t="s">
        <v>142</v>
      </c>
      <c r="AC2003" t="s">
        <v>39</v>
      </c>
      <c r="AD2003" t="s">
        <v>144</v>
      </c>
      <c r="AE2003" t="str">
        <f t="shared" si="626"/>
        <v>05</v>
      </c>
      <c r="AF2003" t="s">
        <v>40</v>
      </c>
    </row>
    <row r="2004" spans="1:32" x14ac:dyDescent="0.25">
      <c r="A2004">
        <v>5</v>
      </c>
      <c r="B2004">
        <v>420</v>
      </c>
      <c r="C2004" t="str">
        <f t="shared" si="617"/>
        <v>00</v>
      </c>
      <c r="D2004">
        <v>2153</v>
      </c>
      <c r="E2004" t="str">
        <f>"00"</f>
        <v>00</v>
      </c>
      <c r="F2004" t="str">
        <f>"010"</f>
        <v>010</v>
      </c>
      <c r="G2004">
        <v>5</v>
      </c>
      <c r="H2004" t="str">
        <f t="shared" si="618"/>
        <v>00</v>
      </c>
      <c r="I2004" t="str">
        <f t="shared" si="619"/>
        <v>0</v>
      </c>
      <c r="J2004" t="str">
        <f t="shared" si="613"/>
        <v>00</v>
      </c>
      <c r="K2004">
        <v>20150527</v>
      </c>
      <c r="L2004" t="str">
        <f>"TRS05A"</f>
        <v>TRS05A</v>
      </c>
      <c r="M2004" t="str">
        <f t="shared" si="623"/>
        <v>00355</v>
      </c>
      <c r="N2004" t="s">
        <v>295</v>
      </c>
      <c r="O2004" s="1">
        <v>1625</v>
      </c>
      <c r="Q2004" t="s">
        <v>33</v>
      </c>
      <c r="R2004" t="s">
        <v>34</v>
      </c>
      <c r="S2004" t="s">
        <v>35</v>
      </c>
      <c r="T2004" t="s">
        <v>35</v>
      </c>
      <c r="U2004" t="s">
        <v>34</v>
      </c>
      <c r="V2004" t="str">
        <f>""</f>
        <v/>
      </c>
      <c r="W2004">
        <v>20150527</v>
      </c>
      <c r="X2004" t="s">
        <v>990</v>
      </c>
      <c r="Y2004" t="s">
        <v>1007</v>
      </c>
      <c r="Z2004" t="s">
        <v>1007</v>
      </c>
      <c r="AA2004">
        <v>0</v>
      </c>
      <c r="AB2004" t="s">
        <v>142</v>
      </c>
      <c r="AC2004" t="s">
        <v>992</v>
      </c>
      <c r="AD2004" t="s">
        <v>144</v>
      </c>
      <c r="AE2004" t="str">
        <f t="shared" si="626"/>
        <v>05</v>
      </c>
      <c r="AF2004" t="s">
        <v>40</v>
      </c>
    </row>
    <row r="2005" spans="1:32" x14ac:dyDescent="0.25">
      <c r="A2005">
        <v>5</v>
      </c>
      <c r="B2005">
        <v>420</v>
      </c>
      <c r="C2005" t="str">
        <f t="shared" si="617"/>
        <v>00</v>
      </c>
      <c r="D2005">
        <v>2153</v>
      </c>
      <c r="E2005" t="str">
        <f>"00"</f>
        <v>00</v>
      </c>
      <c r="F2005" t="str">
        <f>"011"</f>
        <v>011</v>
      </c>
      <c r="G2005">
        <v>5</v>
      </c>
      <c r="H2005" t="str">
        <f t="shared" si="618"/>
        <v>00</v>
      </c>
      <c r="I2005" t="str">
        <f t="shared" si="619"/>
        <v>0</v>
      </c>
      <c r="J2005" t="str">
        <f t="shared" si="613"/>
        <v>00</v>
      </c>
      <c r="K2005">
        <v>20150527</v>
      </c>
      <c r="L2005" t="str">
        <f>"TRS05A"</f>
        <v>TRS05A</v>
      </c>
      <c r="M2005" t="str">
        <f t="shared" si="623"/>
        <v>00355</v>
      </c>
      <c r="N2005" t="s">
        <v>295</v>
      </c>
      <c r="O2005" s="1">
        <v>7246</v>
      </c>
      <c r="Q2005" t="s">
        <v>33</v>
      </c>
      <c r="R2005" t="s">
        <v>34</v>
      </c>
      <c r="S2005" t="s">
        <v>35</v>
      </c>
      <c r="T2005" t="s">
        <v>35</v>
      </c>
      <c r="U2005" t="s">
        <v>34</v>
      </c>
      <c r="V2005" t="str">
        <f>""</f>
        <v/>
      </c>
      <c r="W2005">
        <v>20150527</v>
      </c>
      <c r="X2005" t="s">
        <v>993</v>
      </c>
      <c r="Y2005" t="s">
        <v>1007</v>
      </c>
      <c r="Z2005" t="s">
        <v>1007</v>
      </c>
      <c r="AA2005">
        <v>0</v>
      </c>
      <c r="AB2005" t="s">
        <v>142</v>
      </c>
      <c r="AC2005" t="s">
        <v>994</v>
      </c>
      <c r="AD2005" t="s">
        <v>144</v>
      </c>
      <c r="AE2005" t="str">
        <f t="shared" si="626"/>
        <v>05</v>
      </c>
      <c r="AF2005" t="s">
        <v>40</v>
      </c>
    </row>
    <row r="2006" spans="1:32" x14ac:dyDescent="0.25">
      <c r="A2006">
        <v>5</v>
      </c>
      <c r="B2006">
        <v>420</v>
      </c>
      <c r="C2006" t="str">
        <f t="shared" si="617"/>
        <v>00</v>
      </c>
      <c r="D2006">
        <v>2153</v>
      </c>
      <c r="E2006" t="str">
        <f>"00"</f>
        <v>00</v>
      </c>
      <c r="F2006" t="str">
        <f>"012"</f>
        <v>012</v>
      </c>
      <c r="G2006">
        <v>5</v>
      </c>
      <c r="H2006" t="str">
        <f t="shared" si="618"/>
        <v>00</v>
      </c>
      <c r="I2006" t="str">
        <f t="shared" si="619"/>
        <v>0</v>
      </c>
      <c r="J2006" t="str">
        <f t="shared" si="613"/>
        <v>00</v>
      </c>
      <c r="K2006">
        <v>20150527</v>
      </c>
      <c r="L2006" t="str">
        <f>"TRS05A"</f>
        <v>TRS05A</v>
      </c>
      <c r="M2006" t="str">
        <f t="shared" si="623"/>
        <v>00355</v>
      </c>
      <c r="N2006" t="s">
        <v>295</v>
      </c>
      <c r="O2006" s="1">
        <v>8259.5</v>
      </c>
      <c r="Q2006" t="s">
        <v>33</v>
      </c>
      <c r="R2006" t="s">
        <v>34</v>
      </c>
      <c r="S2006" t="s">
        <v>35</v>
      </c>
      <c r="T2006" t="s">
        <v>35</v>
      </c>
      <c r="U2006" t="s">
        <v>34</v>
      </c>
      <c r="V2006" t="str">
        <f>""</f>
        <v/>
      </c>
      <c r="W2006">
        <v>20150527</v>
      </c>
      <c r="X2006" t="s">
        <v>995</v>
      </c>
      <c r="Y2006" t="s">
        <v>1007</v>
      </c>
      <c r="Z2006" t="s">
        <v>1007</v>
      </c>
      <c r="AA2006">
        <v>0</v>
      </c>
      <c r="AB2006" t="s">
        <v>142</v>
      </c>
      <c r="AC2006" t="s">
        <v>996</v>
      </c>
      <c r="AD2006" t="s">
        <v>144</v>
      </c>
      <c r="AE2006" t="str">
        <f t="shared" si="626"/>
        <v>05</v>
      </c>
      <c r="AF2006" t="s">
        <v>40</v>
      </c>
    </row>
    <row r="2007" spans="1:32" x14ac:dyDescent="0.25">
      <c r="A2007">
        <v>5</v>
      </c>
      <c r="B2007">
        <v>420</v>
      </c>
      <c r="C2007" t="str">
        <f t="shared" si="617"/>
        <v>00</v>
      </c>
      <c r="D2007">
        <v>2155</v>
      </c>
      <c r="E2007" t="str">
        <f>"00"</f>
        <v>00</v>
      </c>
      <c r="F2007" t="str">
        <f t="shared" ref="F2007:F2013" si="627">"000"</f>
        <v>000</v>
      </c>
      <c r="G2007">
        <v>5</v>
      </c>
      <c r="H2007" t="str">
        <f t="shared" si="618"/>
        <v>00</v>
      </c>
      <c r="I2007" t="str">
        <f t="shared" si="619"/>
        <v>0</v>
      </c>
      <c r="J2007" t="str">
        <f t="shared" si="613"/>
        <v>00</v>
      </c>
      <c r="K2007">
        <v>20150602</v>
      </c>
      <c r="L2007" t="str">
        <f t="shared" ref="L2007:L2013" si="628">"TRS05B"</f>
        <v>TRS05B</v>
      </c>
      <c r="M2007" t="str">
        <f t="shared" si="623"/>
        <v>00355</v>
      </c>
      <c r="N2007" t="s">
        <v>295</v>
      </c>
      <c r="O2007" s="1">
        <v>14764.77</v>
      </c>
      <c r="Q2007" t="s">
        <v>33</v>
      </c>
      <c r="R2007" t="s">
        <v>34</v>
      </c>
      <c r="S2007" t="s">
        <v>35</v>
      </c>
      <c r="T2007" t="s">
        <v>35</v>
      </c>
      <c r="U2007" t="s">
        <v>34</v>
      </c>
      <c r="V2007" t="str">
        <f>""</f>
        <v/>
      </c>
      <c r="W2007">
        <v>20150602</v>
      </c>
      <c r="X2007" t="s">
        <v>997</v>
      </c>
      <c r="Y2007" t="s">
        <v>984</v>
      </c>
      <c r="Z2007" t="s">
        <v>984</v>
      </c>
      <c r="AA2007">
        <v>0</v>
      </c>
      <c r="AB2007" t="s">
        <v>142</v>
      </c>
      <c r="AC2007" t="s">
        <v>39</v>
      </c>
      <c r="AD2007" t="s">
        <v>144</v>
      </c>
      <c r="AE2007" t="str">
        <f t="shared" ref="AE2007:AE2022" si="629">"06"</f>
        <v>06</v>
      </c>
      <c r="AF2007" t="s">
        <v>40</v>
      </c>
    </row>
    <row r="2008" spans="1:32" x14ac:dyDescent="0.25">
      <c r="A2008">
        <v>5</v>
      </c>
      <c r="B2008">
        <v>420</v>
      </c>
      <c r="C2008" t="str">
        <f t="shared" si="617"/>
        <v>00</v>
      </c>
      <c r="D2008">
        <v>2155</v>
      </c>
      <c r="E2008" t="str">
        <f>"01"</f>
        <v>01</v>
      </c>
      <c r="F2008" t="str">
        <f t="shared" si="627"/>
        <v>000</v>
      </c>
      <c r="G2008">
        <v>5</v>
      </c>
      <c r="H2008" t="str">
        <f t="shared" si="618"/>
        <v>00</v>
      </c>
      <c r="I2008" t="str">
        <f t="shared" si="619"/>
        <v>0</v>
      </c>
      <c r="J2008" t="str">
        <f t="shared" si="613"/>
        <v>00</v>
      </c>
      <c r="K2008">
        <v>20150602</v>
      </c>
      <c r="L2008" t="str">
        <f t="shared" si="628"/>
        <v>TRS05B</v>
      </c>
      <c r="M2008" t="str">
        <f t="shared" si="623"/>
        <v>00355</v>
      </c>
      <c r="N2008" t="s">
        <v>295</v>
      </c>
      <c r="O2008">
        <v>994.79</v>
      </c>
      <c r="Q2008" t="s">
        <v>33</v>
      </c>
      <c r="R2008" t="s">
        <v>34</v>
      </c>
      <c r="S2008" t="s">
        <v>35</v>
      </c>
      <c r="T2008" t="s">
        <v>35</v>
      </c>
      <c r="U2008" t="s">
        <v>34</v>
      </c>
      <c r="V2008" t="str">
        <f>""</f>
        <v/>
      </c>
      <c r="W2008">
        <v>20150602</v>
      </c>
      <c r="X2008" t="s">
        <v>998</v>
      </c>
      <c r="Y2008" t="s">
        <v>984</v>
      </c>
      <c r="Z2008" t="s">
        <v>984</v>
      </c>
      <c r="AA2008">
        <v>0</v>
      </c>
      <c r="AB2008" t="s">
        <v>142</v>
      </c>
      <c r="AC2008" t="s">
        <v>39</v>
      </c>
      <c r="AD2008" t="s">
        <v>144</v>
      </c>
      <c r="AE2008" t="str">
        <f t="shared" si="629"/>
        <v>06</v>
      </c>
      <c r="AF2008" t="s">
        <v>40</v>
      </c>
    </row>
    <row r="2009" spans="1:32" x14ac:dyDescent="0.25">
      <c r="A2009">
        <v>5</v>
      </c>
      <c r="B2009">
        <v>420</v>
      </c>
      <c r="C2009" t="str">
        <f t="shared" si="617"/>
        <v>00</v>
      </c>
      <c r="D2009">
        <v>2155</v>
      </c>
      <c r="E2009" t="str">
        <f>"03"</f>
        <v>03</v>
      </c>
      <c r="F2009" t="str">
        <f t="shared" si="627"/>
        <v>000</v>
      </c>
      <c r="G2009">
        <v>5</v>
      </c>
      <c r="H2009" t="str">
        <f t="shared" si="618"/>
        <v>00</v>
      </c>
      <c r="I2009" t="str">
        <f t="shared" si="619"/>
        <v>0</v>
      </c>
      <c r="J2009" t="str">
        <f t="shared" si="613"/>
        <v>00</v>
      </c>
      <c r="K2009">
        <v>20150602</v>
      </c>
      <c r="L2009" t="str">
        <f t="shared" si="628"/>
        <v>TRS05B</v>
      </c>
      <c r="M2009" t="str">
        <f t="shared" si="623"/>
        <v>00355</v>
      </c>
      <c r="N2009" t="s">
        <v>295</v>
      </c>
      <c r="O2009">
        <v>146.30000000000001</v>
      </c>
      <c r="Q2009" t="s">
        <v>33</v>
      </c>
      <c r="R2009" t="s">
        <v>34</v>
      </c>
      <c r="S2009" t="s">
        <v>35</v>
      </c>
      <c r="T2009" t="s">
        <v>35</v>
      </c>
      <c r="U2009" t="s">
        <v>34</v>
      </c>
      <c r="V2009" t="str">
        <f>""</f>
        <v/>
      </c>
      <c r="W2009">
        <v>20150602</v>
      </c>
      <c r="X2009" t="s">
        <v>999</v>
      </c>
      <c r="Y2009" t="s">
        <v>984</v>
      </c>
      <c r="Z2009" t="s">
        <v>984</v>
      </c>
      <c r="AA2009">
        <v>0</v>
      </c>
      <c r="AB2009" t="s">
        <v>142</v>
      </c>
      <c r="AC2009" t="s">
        <v>39</v>
      </c>
      <c r="AD2009" t="s">
        <v>144</v>
      </c>
      <c r="AE2009" t="str">
        <f t="shared" si="629"/>
        <v>06</v>
      </c>
      <c r="AF2009" t="s">
        <v>40</v>
      </c>
    </row>
    <row r="2010" spans="1:32" x14ac:dyDescent="0.25">
      <c r="A2010">
        <v>5</v>
      </c>
      <c r="B2010">
        <v>420</v>
      </c>
      <c r="C2010" t="str">
        <f t="shared" si="617"/>
        <v>00</v>
      </c>
      <c r="D2010">
        <v>2155</v>
      </c>
      <c r="E2010" t="str">
        <f>"04"</f>
        <v>04</v>
      </c>
      <c r="F2010" t="str">
        <f t="shared" si="627"/>
        <v>000</v>
      </c>
      <c r="G2010">
        <v>5</v>
      </c>
      <c r="H2010" t="str">
        <f t="shared" si="618"/>
        <v>00</v>
      </c>
      <c r="I2010" t="str">
        <f t="shared" si="619"/>
        <v>0</v>
      </c>
      <c r="J2010" t="str">
        <f t="shared" si="613"/>
        <v>00</v>
      </c>
      <c r="K2010">
        <v>20150602</v>
      </c>
      <c r="L2010" t="str">
        <f t="shared" si="628"/>
        <v>TRS05B</v>
      </c>
      <c r="M2010" t="str">
        <f t="shared" si="623"/>
        <v>00355</v>
      </c>
      <c r="N2010" t="s">
        <v>295</v>
      </c>
      <c r="O2010" s="1">
        <v>1104.8699999999999</v>
      </c>
      <c r="Q2010" t="s">
        <v>33</v>
      </c>
      <c r="R2010" t="s">
        <v>34</v>
      </c>
      <c r="S2010" t="s">
        <v>35</v>
      </c>
      <c r="T2010" t="s">
        <v>35</v>
      </c>
      <c r="U2010" t="s">
        <v>34</v>
      </c>
      <c r="V2010" t="str">
        <f>""</f>
        <v/>
      </c>
      <c r="W2010">
        <v>20150602</v>
      </c>
      <c r="X2010" t="s">
        <v>1000</v>
      </c>
      <c r="Y2010" t="s">
        <v>984</v>
      </c>
      <c r="Z2010" t="s">
        <v>984</v>
      </c>
      <c r="AA2010">
        <v>0</v>
      </c>
      <c r="AB2010" t="s">
        <v>142</v>
      </c>
      <c r="AC2010" t="s">
        <v>39</v>
      </c>
      <c r="AD2010" t="s">
        <v>144</v>
      </c>
      <c r="AE2010" t="str">
        <f t="shared" si="629"/>
        <v>06</v>
      </c>
      <c r="AF2010" t="s">
        <v>40</v>
      </c>
    </row>
    <row r="2011" spans="1:32" x14ac:dyDescent="0.25">
      <c r="A2011">
        <v>5</v>
      </c>
      <c r="B2011">
        <v>420</v>
      </c>
      <c r="C2011" t="str">
        <f t="shared" si="617"/>
        <v>00</v>
      </c>
      <c r="D2011">
        <v>2155</v>
      </c>
      <c r="E2011" t="str">
        <f>"05"</f>
        <v>05</v>
      </c>
      <c r="F2011" t="str">
        <f t="shared" si="627"/>
        <v>000</v>
      </c>
      <c r="G2011">
        <v>5</v>
      </c>
      <c r="H2011" t="str">
        <f t="shared" si="618"/>
        <v>00</v>
      </c>
      <c r="I2011" t="str">
        <f t="shared" si="619"/>
        <v>0</v>
      </c>
      <c r="J2011" t="str">
        <f t="shared" si="613"/>
        <v>00</v>
      </c>
      <c r="K2011">
        <v>20150602</v>
      </c>
      <c r="L2011" t="str">
        <f t="shared" si="628"/>
        <v>TRS05B</v>
      </c>
      <c r="M2011" t="str">
        <f t="shared" si="623"/>
        <v>00355</v>
      </c>
      <c r="N2011" t="s">
        <v>295</v>
      </c>
      <c r="O2011">
        <v>768.68</v>
      </c>
      <c r="Q2011" t="s">
        <v>33</v>
      </c>
      <c r="R2011" t="s">
        <v>34</v>
      </c>
      <c r="S2011" t="s">
        <v>35</v>
      </c>
      <c r="T2011" t="s">
        <v>35</v>
      </c>
      <c r="U2011" t="s">
        <v>34</v>
      </c>
      <c r="V2011" t="str">
        <f>""</f>
        <v/>
      </c>
      <c r="W2011">
        <v>20150602</v>
      </c>
      <c r="X2011" t="s">
        <v>1001</v>
      </c>
      <c r="Y2011" t="s">
        <v>984</v>
      </c>
      <c r="Z2011" t="s">
        <v>984</v>
      </c>
      <c r="AA2011">
        <v>0</v>
      </c>
      <c r="AB2011" t="s">
        <v>142</v>
      </c>
      <c r="AC2011" t="s">
        <v>39</v>
      </c>
      <c r="AD2011" t="s">
        <v>144</v>
      </c>
      <c r="AE2011" t="str">
        <f t="shared" si="629"/>
        <v>06</v>
      </c>
      <c r="AF2011" t="s">
        <v>40</v>
      </c>
    </row>
    <row r="2012" spans="1:32" x14ac:dyDescent="0.25">
      <c r="A2012">
        <v>5</v>
      </c>
      <c r="B2012">
        <v>420</v>
      </c>
      <c r="C2012" t="str">
        <f t="shared" si="617"/>
        <v>00</v>
      </c>
      <c r="D2012">
        <v>2155</v>
      </c>
      <c r="E2012" t="str">
        <f>"06"</f>
        <v>06</v>
      </c>
      <c r="F2012" t="str">
        <f t="shared" si="627"/>
        <v>000</v>
      </c>
      <c r="G2012">
        <v>5</v>
      </c>
      <c r="H2012" t="str">
        <f t="shared" si="618"/>
        <v>00</v>
      </c>
      <c r="I2012" t="str">
        <f t="shared" si="619"/>
        <v>0</v>
      </c>
      <c r="J2012" t="str">
        <f t="shared" si="613"/>
        <v>00</v>
      </c>
      <c r="K2012">
        <v>20150602</v>
      </c>
      <c r="L2012" t="str">
        <f t="shared" si="628"/>
        <v>TRS05B</v>
      </c>
      <c r="M2012" t="str">
        <f t="shared" si="623"/>
        <v>00355</v>
      </c>
      <c r="N2012" t="s">
        <v>295</v>
      </c>
      <c r="O2012">
        <v>320.95999999999998</v>
      </c>
      <c r="Q2012" t="s">
        <v>33</v>
      </c>
      <c r="R2012" t="s">
        <v>34</v>
      </c>
      <c r="S2012" t="s">
        <v>35</v>
      </c>
      <c r="T2012" t="s">
        <v>35</v>
      </c>
      <c r="U2012" t="s">
        <v>34</v>
      </c>
      <c r="V2012" t="str">
        <f>""</f>
        <v/>
      </c>
      <c r="W2012">
        <v>20150602</v>
      </c>
      <c r="X2012" t="s">
        <v>1002</v>
      </c>
      <c r="Y2012" t="s">
        <v>984</v>
      </c>
      <c r="Z2012" t="s">
        <v>984</v>
      </c>
      <c r="AA2012">
        <v>0</v>
      </c>
      <c r="AB2012" t="s">
        <v>142</v>
      </c>
      <c r="AC2012" t="s">
        <v>39</v>
      </c>
      <c r="AD2012" t="s">
        <v>144</v>
      </c>
      <c r="AE2012" t="str">
        <f t="shared" si="629"/>
        <v>06</v>
      </c>
      <c r="AF2012" t="s">
        <v>40</v>
      </c>
    </row>
    <row r="2013" spans="1:32" x14ac:dyDescent="0.25">
      <c r="A2013">
        <v>5</v>
      </c>
      <c r="B2013">
        <v>420</v>
      </c>
      <c r="C2013" t="str">
        <f t="shared" si="617"/>
        <v>00</v>
      </c>
      <c r="D2013">
        <v>2155</v>
      </c>
      <c r="E2013" t="str">
        <f>"08"</f>
        <v>08</v>
      </c>
      <c r="F2013" t="str">
        <f t="shared" si="627"/>
        <v>000</v>
      </c>
      <c r="G2013">
        <v>5</v>
      </c>
      <c r="H2013" t="str">
        <f t="shared" si="618"/>
        <v>00</v>
      </c>
      <c r="I2013" t="str">
        <f t="shared" si="619"/>
        <v>0</v>
      </c>
      <c r="J2013" t="str">
        <f t="shared" si="613"/>
        <v>00</v>
      </c>
      <c r="K2013">
        <v>20150602</v>
      </c>
      <c r="L2013" t="str">
        <f t="shared" si="628"/>
        <v>TRS05B</v>
      </c>
      <c r="M2013" t="str">
        <f t="shared" si="623"/>
        <v>00355</v>
      </c>
      <c r="N2013" t="s">
        <v>295</v>
      </c>
      <c r="O2013" s="1">
        <v>2958.99</v>
      </c>
      <c r="Q2013" t="s">
        <v>33</v>
      </c>
      <c r="R2013" t="s">
        <v>34</v>
      </c>
      <c r="S2013" t="s">
        <v>35</v>
      </c>
      <c r="T2013" t="s">
        <v>35</v>
      </c>
      <c r="U2013" t="s">
        <v>34</v>
      </c>
      <c r="V2013" t="str">
        <f>""</f>
        <v/>
      </c>
      <c r="W2013">
        <v>20150602</v>
      </c>
      <c r="X2013" t="s">
        <v>1003</v>
      </c>
      <c r="Y2013" t="s">
        <v>984</v>
      </c>
      <c r="Z2013" t="s">
        <v>984</v>
      </c>
      <c r="AA2013">
        <v>0</v>
      </c>
      <c r="AB2013" t="s">
        <v>142</v>
      </c>
      <c r="AC2013" t="s">
        <v>39</v>
      </c>
      <c r="AD2013" t="s">
        <v>144</v>
      </c>
      <c r="AE2013" t="str">
        <f t="shared" si="629"/>
        <v>06</v>
      </c>
      <c r="AF2013" t="s">
        <v>40</v>
      </c>
    </row>
    <row r="2014" spans="1:32" x14ac:dyDescent="0.25">
      <c r="A2014">
        <v>5</v>
      </c>
      <c r="B2014">
        <v>420</v>
      </c>
      <c r="C2014" t="str">
        <f t="shared" ref="C2014:C2045" si="630">"00"</f>
        <v>00</v>
      </c>
      <c r="D2014">
        <v>2153</v>
      </c>
      <c r="E2014" t="str">
        <f>"00"</f>
        <v>00</v>
      </c>
      <c r="F2014" t="str">
        <f>"010"</f>
        <v>010</v>
      </c>
      <c r="G2014">
        <v>5</v>
      </c>
      <c r="H2014" t="str">
        <f t="shared" ref="H2014:H2045" si="631">"00"</f>
        <v>00</v>
      </c>
      <c r="I2014" t="str">
        <f t="shared" si="619"/>
        <v>0</v>
      </c>
      <c r="J2014" t="str">
        <f t="shared" si="613"/>
        <v>00</v>
      </c>
      <c r="K2014">
        <v>20150626</v>
      </c>
      <c r="L2014" t="str">
        <f>"TRS06A"</f>
        <v>TRS06A</v>
      </c>
      <c r="M2014" t="str">
        <f t="shared" si="623"/>
        <v>00355</v>
      </c>
      <c r="N2014" t="s">
        <v>295</v>
      </c>
      <c r="O2014" s="1">
        <v>1950</v>
      </c>
      <c r="Q2014" t="s">
        <v>33</v>
      </c>
      <c r="R2014" t="s">
        <v>34</v>
      </c>
      <c r="S2014" t="s">
        <v>35</v>
      </c>
      <c r="T2014" t="s">
        <v>35</v>
      </c>
      <c r="U2014" t="s">
        <v>34</v>
      </c>
      <c r="V2014" t="str">
        <f>""</f>
        <v/>
      </c>
      <c r="W2014">
        <v>20150626</v>
      </c>
      <c r="X2014" t="s">
        <v>990</v>
      </c>
      <c r="Y2014" t="s">
        <v>1008</v>
      </c>
      <c r="Z2014" t="s">
        <v>1008</v>
      </c>
      <c r="AA2014">
        <v>0</v>
      </c>
      <c r="AB2014" t="s">
        <v>142</v>
      </c>
      <c r="AC2014" t="s">
        <v>992</v>
      </c>
      <c r="AD2014" t="s">
        <v>144</v>
      </c>
      <c r="AE2014" t="str">
        <f t="shared" si="629"/>
        <v>06</v>
      </c>
      <c r="AF2014" t="s">
        <v>40</v>
      </c>
    </row>
    <row r="2015" spans="1:32" x14ac:dyDescent="0.25">
      <c r="A2015">
        <v>5</v>
      </c>
      <c r="B2015">
        <v>420</v>
      </c>
      <c r="C2015" t="str">
        <f t="shared" si="630"/>
        <v>00</v>
      </c>
      <c r="D2015">
        <v>2153</v>
      </c>
      <c r="E2015" t="str">
        <f>"00"</f>
        <v>00</v>
      </c>
      <c r="F2015" t="str">
        <f>"011"</f>
        <v>011</v>
      </c>
      <c r="G2015">
        <v>5</v>
      </c>
      <c r="H2015" t="str">
        <f t="shared" si="631"/>
        <v>00</v>
      </c>
      <c r="I2015" t="str">
        <f t="shared" si="619"/>
        <v>0</v>
      </c>
      <c r="J2015" t="str">
        <f t="shared" si="613"/>
        <v>00</v>
      </c>
      <c r="K2015">
        <v>20150626</v>
      </c>
      <c r="L2015" t="str">
        <f>"TRS06A"</f>
        <v>TRS06A</v>
      </c>
      <c r="M2015" t="str">
        <f t="shared" si="623"/>
        <v>00355</v>
      </c>
      <c r="N2015" t="s">
        <v>295</v>
      </c>
      <c r="O2015" s="1">
        <v>7246</v>
      </c>
      <c r="Q2015" t="s">
        <v>33</v>
      </c>
      <c r="R2015" t="s">
        <v>34</v>
      </c>
      <c r="S2015" t="s">
        <v>35</v>
      </c>
      <c r="T2015" t="s">
        <v>35</v>
      </c>
      <c r="U2015" t="s">
        <v>34</v>
      </c>
      <c r="V2015" t="str">
        <f>""</f>
        <v/>
      </c>
      <c r="W2015">
        <v>20150626</v>
      </c>
      <c r="X2015" t="s">
        <v>993</v>
      </c>
      <c r="Y2015" t="s">
        <v>1008</v>
      </c>
      <c r="Z2015" t="s">
        <v>1008</v>
      </c>
      <c r="AA2015">
        <v>0</v>
      </c>
      <c r="AB2015" t="s">
        <v>142</v>
      </c>
      <c r="AC2015" t="s">
        <v>994</v>
      </c>
      <c r="AD2015" t="s">
        <v>144</v>
      </c>
      <c r="AE2015" t="str">
        <f t="shared" si="629"/>
        <v>06</v>
      </c>
      <c r="AF2015" t="s">
        <v>40</v>
      </c>
    </row>
    <row r="2016" spans="1:32" x14ac:dyDescent="0.25">
      <c r="A2016">
        <v>5</v>
      </c>
      <c r="B2016">
        <v>420</v>
      </c>
      <c r="C2016" t="str">
        <f t="shared" si="630"/>
        <v>00</v>
      </c>
      <c r="D2016">
        <v>2153</v>
      </c>
      <c r="E2016" t="str">
        <f>"00"</f>
        <v>00</v>
      </c>
      <c r="F2016" t="str">
        <f>"012"</f>
        <v>012</v>
      </c>
      <c r="G2016">
        <v>5</v>
      </c>
      <c r="H2016" t="str">
        <f t="shared" si="631"/>
        <v>00</v>
      </c>
      <c r="I2016" t="str">
        <f t="shared" si="619"/>
        <v>0</v>
      </c>
      <c r="J2016" t="str">
        <f t="shared" si="613"/>
        <v>00</v>
      </c>
      <c r="K2016">
        <v>20150626</v>
      </c>
      <c r="L2016" t="str">
        <f>"TRS06A"</f>
        <v>TRS06A</v>
      </c>
      <c r="M2016" t="str">
        <f t="shared" si="623"/>
        <v>00355</v>
      </c>
      <c r="N2016" t="s">
        <v>295</v>
      </c>
      <c r="O2016" s="1">
        <v>8259.5</v>
      </c>
      <c r="Q2016" t="s">
        <v>33</v>
      </c>
      <c r="R2016" t="s">
        <v>34</v>
      </c>
      <c r="S2016" t="s">
        <v>35</v>
      </c>
      <c r="T2016" t="s">
        <v>35</v>
      </c>
      <c r="U2016" t="s">
        <v>34</v>
      </c>
      <c r="V2016" t="str">
        <f>""</f>
        <v/>
      </c>
      <c r="W2016">
        <v>20150626</v>
      </c>
      <c r="X2016" t="s">
        <v>995</v>
      </c>
      <c r="Y2016" t="s">
        <v>1008</v>
      </c>
      <c r="Z2016" t="s">
        <v>1008</v>
      </c>
      <c r="AA2016">
        <v>0</v>
      </c>
      <c r="AB2016" t="s">
        <v>142</v>
      </c>
      <c r="AC2016" t="s">
        <v>996</v>
      </c>
      <c r="AD2016" t="s">
        <v>144</v>
      </c>
      <c r="AE2016" t="str">
        <f t="shared" si="629"/>
        <v>06</v>
      </c>
      <c r="AF2016" t="s">
        <v>40</v>
      </c>
    </row>
    <row r="2017" spans="1:32" x14ac:dyDescent="0.25">
      <c r="A2017">
        <v>5</v>
      </c>
      <c r="B2017">
        <v>420</v>
      </c>
      <c r="C2017" t="str">
        <f t="shared" si="630"/>
        <v>00</v>
      </c>
      <c r="D2017">
        <v>2155</v>
      </c>
      <c r="E2017" t="str">
        <f>"00"</f>
        <v>00</v>
      </c>
      <c r="F2017" t="str">
        <f t="shared" ref="F2017:F2022" si="632">"000"</f>
        <v>000</v>
      </c>
      <c r="G2017">
        <v>5</v>
      </c>
      <c r="H2017" t="str">
        <f t="shared" si="631"/>
        <v>00</v>
      </c>
      <c r="I2017" t="str">
        <f t="shared" si="619"/>
        <v>0</v>
      </c>
      <c r="J2017" t="str">
        <f t="shared" si="613"/>
        <v>00</v>
      </c>
      <c r="K2017">
        <v>20150626</v>
      </c>
      <c r="L2017" t="str">
        <f t="shared" ref="L2017:L2022" si="633">"trs06b"</f>
        <v>trs06b</v>
      </c>
      <c r="M2017" t="str">
        <f t="shared" si="623"/>
        <v>00355</v>
      </c>
      <c r="N2017" t="s">
        <v>295</v>
      </c>
      <c r="O2017" s="1">
        <v>13740.54</v>
      </c>
      <c r="Q2017" t="s">
        <v>33</v>
      </c>
      <c r="R2017" t="s">
        <v>34</v>
      </c>
      <c r="S2017" t="s">
        <v>35</v>
      </c>
      <c r="T2017" t="s">
        <v>35</v>
      </c>
      <c r="U2017" t="s">
        <v>34</v>
      </c>
      <c r="V2017" t="str">
        <f>""</f>
        <v/>
      </c>
      <c r="W2017">
        <v>20150626</v>
      </c>
      <c r="X2017" t="s">
        <v>997</v>
      </c>
      <c r="Y2017" t="s">
        <v>984</v>
      </c>
      <c r="Z2017" t="s">
        <v>984</v>
      </c>
      <c r="AA2017">
        <v>0</v>
      </c>
      <c r="AB2017" t="s">
        <v>142</v>
      </c>
      <c r="AC2017" t="s">
        <v>39</v>
      </c>
      <c r="AD2017" t="s">
        <v>144</v>
      </c>
      <c r="AE2017" t="str">
        <f t="shared" si="629"/>
        <v>06</v>
      </c>
      <c r="AF2017" t="s">
        <v>40</v>
      </c>
    </row>
    <row r="2018" spans="1:32" x14ac:dyDescent="0.25">
      <c r="A2018">
        <v>5</v>
      </c>
      <c r="B2018">
        <v>420</v>
      </c>
      <c r="C2018" t="str">
        <f t="shared" si="630"/>
        <v>00</v>
      </c>
      <c r="D2018">
        <v>2155</v>
      </c>
      <c r="E2018" t="str">
        <f>"01"</f>
        <v>01</v>
      </c>
      <c r="F2018" t="str">
        <f t="shared" si="632"/>
        <v>000</v>
      </c>
      <c r="G2018">
        <v>5</v>
      </c>
      <c r="H2018" t="str">
        <f t="shared" si="631"/>
        <v>00</v>
      </c>
      <c r="I2018" t="str">
        <f t="shared" si="619"/>
        <v>0</v>
      </c>
      <c r="J2018" t="str">
        <f t="shared" si="613"/>
        <v>00</v>
      </c>
      <c r="K2018">
        <v>20150626</v>
      </c>
      <c r="L2018" t="str">
        <f t="shared" si="633"/>
        <v>trs06b</v>
      </c>
      <c r="M2018" t="str">
        <f t="shared" si="623"/>
        <v>00355</v>
      </c>
      <c r="N2018" t="s">
        <v>295</v>
      </c>
      <c r="O2018">
        <v>486.21</v>
      </c>
      <c r="Q2018" t="s">
        <v>33</v>
      </c>
      <c r="R2018" t="s">
        <v>34</v>
      </c>
      <c r="S2018" t="s">
        <v>35</v>
      </c>
      <c r="T2018" t="s">
        <v>35</v>
      </c>
      <c r="U2018" t="s">
        <v>34</v>
      </c>
      <c r="V2018" t="str">
        <f>""</f>
        <v/>
      </c>
      <c r="W2018">
        <v>20150626</v>
      </c>
      <c r="X2018" t="s">
        <v>998</v>
      </c>
      <c r="Y2018" t="s">
        <v>984</v>
      </c>
      <c r="Z2018" t="s">
        <v>984</v>
      </c>
      <c r="AA2018">
        <v>0</v>
      </c>
      <c r="AB2018" t="s">
        <v>142</v>
      </c>
      <c r="AC2018" t="s">
        <v>39</v>
      </c>
      <c r="AD2018" t="s">
        <v>144</v>
      </c>
      <c r="AE2018" t="str">
        <f t="shared" si="629"/>
        <v>06</v>
      </c>
      <c r="AF2018" t="s">
        <v>40</v>
      </c>
    </row>
    <row r="2019" spans="1:32" x14ac:dyDescent="0.25">
      <c r="A2019">
        <v>5</v>
      </c>
      <c r="B2019">
        <v>420</v>
      </c>
      <c r="C2019" t="str">
        <f t="shared" si="630"/>
        <v>00</v>
      </c>
      <c r="D2019">
        <v>2155</v>
      </c>
      <c r="E2019" t="str">
        <f>"03"</f>
        <v>03</v>
      </c>
      <c r="F2019" t="str">
        <f t="shared" si="632"/>
        <v>000</v>
      </c>
      <c r="G2019">
        <v>5</v>
      </c>
      <c r="H2019" t="str">
        <f t="shared" si="631"/>
        <v>00</v>
      </c>
      <c r="I2019" t="str">
        <f t="shared" si="619"/>
        <v>0</v>
      </c>
      <c r="J2019" t="str">
        <f t="shared" si="613"/>
        <v>00</v>
      </c>
      <c r="K2019">
        <v>20150626</v>
      </c>
      <c r="L2019" t="str">
        <f t="shared" si="633"/>
        <v>trs06b</v>
      </c>
      <c r="M2019" t="str">
        <f t="shared" si="623"/>
        <v>00355</v>
      </c>
      <c r="N2019" t="s">
        <v>295</v>
      </c>
      <c r="O2019">
        <v>71.510000000000005</v>
      </c>
      <c r="Q2019" t="s">
        <v>33</v>
      </c>
      <c r="R2019" t="s">
        <v>34</v>
      </c>
      <c r="S2019" t="s">
        <v>35</v>
      </c>
      <c r="T2019" t="s">
        <v>35</v>
      </c>
      <c r="U2019" t="s">
        <v>34</v>
      </c>
      <c r="V2019" t="str">
        <f>""</f>
        <v/>
      </c>
      <c r="W2019">
        <v>20150626</v>
      </c>
      <c r="X2019" t="s">
        <v>999</v>
      </c>
      <c r="Y2019" t="s">
        <v>984</v>
      </c>
      <c r="Z2019" t="s">
        <v>984</v>
      </c>
      <c r="AA2019">
        <v>0</v>
      </c>
      <c r="AB2019" t="s">
        <v>142</v>
      </c>
      <c r="AC2019" t="s">
        <v>39</v>
      </c>
      <c r="AD2019" t="s">
        <v>144</v>
      </c>
      <c r="AE2019" t="str">
        <f t="shared" si="629"/>
        <v>06</v>
      </c>
      <c r="AF2019" t="s">
        <v>40</v>
      </c>
    </row>
    <row r="2020" spans="1:32" x14ac:dyDescent="0.25">
      <c r="A2020">
        <v>5</v>
      </c>
      <c r="B2020">
        <v>420</v>
      </c>
      <c r="C2020" t="str">
        <f t="shared" si="630"/>
        <v>00</v>
      </c>
      <c r="D2020">
        <v>2155</v>
      </c>
      <c r="E2020" t="str">
        <f>"04"</f>
        <v>04</v>
      </c>
      <c r="F2020" t="str">
        <f t="shared" si="632"/>
        <v>000</v>
      </c>
      <c r="G2020">
        <v>5</v>
      </c>
      <c r="H2020" t="str">
        <f t="shared" si="631"/>
        <v>00</v>
      </c>
      <c r="I2020" t="str">
        <f t="shared" si="619"/>
        <v>0</v>
      </c>
      <c r="J2020" t="str">
        <f t="shared" si="613"/>
        <v>00</v>
      </c>
      <c r="K2020">
        <v>20150626</v>
      </c>
      <c r="L2020" t="str">
        <f t="shared" si="633"/>
        <v>trs06b</v>
      </c>
      <c r="M2020" t="str">
        <f t="shared" si="623"/>
        <v>00355</v>
      </c>
      <c r="N2020" t="s">
        <v>295</v>
      </c>
      <c r="O2020" s="1">
        <v>1028.22</v>
      </c>
      <c r="Q2020" t="s">
        <v>33</v>
      </c>
      <c r="R2020" t="s">
        <v>34</v>
      </c>
      <c r="S2020" t="s">
        <v>35</v>
      </c>
      <c r="T2020" t="s">
        <v>35</v>
      </c>
      <c r="U2020" t="s">
        <v>34</v>
      </c>
      <c r="V2020" t="str">
        <f>""</f>
        <v/>
      </c>
      <c r="W2020">
        <v>20150626</v>
      </c>
      <c r="X2020" t="s">
        <v>1000</v>
      </c>
      <c r="Y2020" t="s">
        <v>984</v>
      </c>
      <c r="Z2020" t="s">
        <v>984</v>
      </c>
      <c r="AA2020">
        <v>0</v>
      </c>
      <c r="AB2020" t="s">
        <v>142</v>
      </c>
      <c r="AC2020" t="s">
        <v>39</v>
      </c>
      <c r="AD2020" t="s">
        <v>144</v>
      </c>
      <c r="AE2020" t="str">
        <f t="shared" si="629"/>
        <v>06</v>
      </c>
      <c r="AF2020" t="s">
        <v>40</v>
      </c>
    </row>
    <row r="2021" spans="1:32" x14ac:dyDescent="0.25">
      <c r="A2021">
        <v>5</v>
      </c>
      <c r="B2021">
        <v>420</v>
      </c>
      <c r="C2021" t="str">
        <f t="shared" si="630"/>
        <v>00</v>
      </c>
      <c r="D2021">
        <v>2155</v>
      </c>
      <c r="E2021" t="str">
        <f>"06"</f>
        <v>06</v>
      </c>
      <c r="F2021" t="str">
        <f t="shared" si="632"/>
        <v>000</v>
      </c>
      <c r="G2021">
        <v>5</v>
      </c>
      <c r="H2021" t="str">
        <f t="shared" si="631"/>
        <v>00</v>
      </c>
      <c r="I2021" t="str">
        <f t="shared" si="619"/>
        <v>0</v>
      </c>
      <c r="J2021" t="str">
        <f t="shared" si="613"/>
        <v>00</v>
      </c>
      <c r="K2021">
        <v>20150626</v>
      </c>
      <c r="L2021" t="str">
        <f t="shared" si="633"/>
        <v>trs06b</v>
      </c>
      <c r="M2021" t="str">
        <f t="shared" si="623"/>
        <v>00355</v>
      </c>
      <c r="N2021" t="s">
        <v>295</v>
      </c>
      <c r="O2021">
        <v>305.74</v>
      </c>
      <c r="Q2021" t="s">
        <v>33</v>
      </c>
      <c r="R2021" t="s">
        <v>34</v>
      </c>
      <c r="S2021" t="s">
        <v>35</v>
      </c>
      <c r="T2021" t="s">
        <v>35</v>
      </c>
      <c r="U2021" t="s">
        <v>34</v>
      </c>
      <c r="V2021" t="str">
        <f>""</f>
        <v/>
      </c>
      <c r="W2021">
        <v>20150626</v>
      </c>
      <c r="X2021" t="s">
        <v>1002</v>
      </c>
      <c r="Y2021" t="s">
        <v>984</v>
      </c>
      <c r="Z2021" t="s">
        <v>984</v>
      </c>
      <c r="AA2021">
        <v>0</v>
      </c>
      <c r="AB2021" t="s">
        <v>142</v>
      </c>
      <c r="AC2021" t="s">
        <v>39</v>
      </c>
      <c r="AD2021" t="s">
        <v>144</v>
      </c>
      <c r="AE2021" t="str">
        <f t="shared" si="629"/>
        <v>06</v>
      </c>
      <c r="AF2021" t="s">
        <v>40</v>
      </c>
    </row>
    <row r="2022" spans="1:32" x14ac:dyDescent="0.25">
      <c r="A2022">
        <v>5</v>
      </c>
      <c r="B2022">
        <v>420</v>
      </c>
      <c r="C2022" t="str">
        <f t="shared" si="630"/>
        <v>00</v>
      </c>
      <c r="D2022">
        <v>2155</v>
      </c>
      <c r="E2022" t="str">
        <f>"08"</f>
        <v>08</v>
      </c>
      <c r="F2022" t="str">
        <f t="shared" si="632"/>
        <v>000</v>
      </c>
      <c r="G2022">
        <v>5</v>
      </c>
      <c r="H2022" t="str">
        <f t="shared" si="631"/>
        <v>00</v>
      </c>
      <c r="I2022" t="str">
        <f t="shared" si="619"/>
        <v>0</v>
      </c>
      <c r="J2022" t="str">
        <f t="shared" si="613"/>
        <v>00</v>
      </c>
      <c r="K2022">
        <v>20150626</v>
      </c>
      <c r="L2022" t="str">
        <f t="shared" si="633"/>
        <v>trs06b</v>
      </c>
      <c r="M2022" t="str">
        <f t="shared" si="623"/>
        <v>00355</v>
      </c>
      <c r="N2022" t="s">
        <v>295</v>
      </c>
      <c r="O2022" s="1">
        <v>2753.15</v>
      </c>
      <c r="Q2022" t="s">
        <v>33</v>
      </c>
      <c r="R2022" t="s">
        <v>34</v>
      </c>
      <c r="S2022" t="s">
        <v>35</v>
      </c>
      <c r="T2022" t="s">
        <v>35</v>
      </c>
      <c r="U2022" t="s">
        <v>34</v>
      </c>
      <c r="V2022" t="str">
        <f>""</f>
        <v/>
      </c>
      <c r="W2022">
        <v>20150626</v>
      </c>
      <c r="X2022" t="s">
        <v>1003</v>
      </c>
      <c r="Y2022" t="s">
        <v>984</v>
      </c>
      <c r="Z2022" t="s">
        <v>984</v>
      </c>
      <c r="AA2022">
        <v>0</v>
      </c>
      <c r="AB2022" t="s">
        <v>142</v>
      </c>
      <c r="AC2022" t="s">
        <v>39</v>
      </c>
      <c r="AD2022" t="s">
        <v>144</v>
      </c>
      <c r="AE2022" t="str">
        <f t="shared" si="629"/>
        <v>06</v>
      </c>
      <c r="AF2022" t="s">
        <v>40</v>
      </c>
    </row>
    <row r="2023" spans="1:32" x14ac:dyDescent="0.25">
      <c r="A2023">
        <v>5</v>
      </c>
      <c r="B2023">
        <v>420</v>
      </c>
      <c r="C2023" t="str">
        <f t="shared" si="630"/>
        <v>00</v>
      </c>
      <c r="D2023">
        <v>2153</v>
      </c>
      <c r="E2023" t="str">
        <f t="shared" ref="E2023:E2029" si="634">"00"</f>
        <v>00</v>
      </c>
      <c r="F2023" t="str">
        <f>"010"</f>
        <v>010</v>
      </c>
      <c r="G2023">
        <v>5</v>
      </c>
      <c r="H2023" t="str">
        <f t="shared" si="631"/>
        <v>00</v>
      </c>
      <c r="I2023" t="str">
        <f t="shared" si="619"/>
        <v>0</v>
      </c>
      <c r="J2023" t="str">
        <f t="shared" si="613"/>
        <v>00</v>
      </c>
      <c r="K2023">
        <v>20150723</v>
      </c>
      <c r="L2023" t="str">
        <f>"TRS07A"</f>
        <v>TRS07A</v>
      </c>
      <c r="M2023" t="str">
        <f t="shared" si="623"/>
        <v>00355</v>
      </c>
      <c r="N2023" t="s">
        <v>295</v>
      </c>
      <c r="O2023" s="1">
        <v>1300</v>
      </c>
      <c r="Q2023" t="s">
        <v>33</v>
      </c>
      <c r="R2023" t="s">
        <v>34</v>
      </c>
      <c r="S2023" t="s">
        <v>35</v>
      </c>
      <c r="T2023" t="s">
        <v>35</v>
      </c>
      <c r="U2023" t="s">
        <v>34</v>
      </c>
      <c r="V2023" t="str">
        <f>""</f>
        <v/>
      </c>
      <c r="W2023">
        <v>20150723</v>
      </c>
      <c r="X2023" t="s">
        <v>990</v>
      </c>
      <c r="Y2023" t="s">
        <v>1009</v>
      </c>
      <c r="Z2023" t="s">
        <v>1009</v>
      </c>
      <c r="AA2023">
        <v>0</v>
      </c>
      <c r="AB2023" t="s">
        <v>142</v>
      </c>
      <c r="AC2023" t="s">
        <v>992</v>
      </c>
      <c r="AD2023" t="s">
        <v>144</v>
      </c>
      <c r="AE2023" t="str">
        <f>"07"</f>
        <v>07</v>
      </c>
      <c r="AF2023" t="s">
        <v>40</v>
      </c>
    </row>
    <row r="2024" spans="1:32" x14ac:dyDescent="0.25">
      <c r="A2024">
        <v>5</v>
      </c>
      <c r="B2024">
        <v>420</v>
      </c>
      <c r="C2024" t="str">
        <f t="shared" si="630"/>
        <v>00</v>
      </c>
      <c r="D2024">
        <v>2153</v>
      </c>
      <c r="E2024" t="str">
        <f t="shared" si="634"/>
        <v>00</v>
      </c>
      <c r="F2024" t="str">
        <f>"011"</f>
        <v>011</v>
      </c>
      <c r="G2024">
        <v>5</v>
      </c>
      <c r="H2024" t="str">
        <f t="shared" si="631"/>
        <v>00</v>
      </c>
      <c r="I2024" t="str">
        <f t="shared" si="619"/>
        <v>0</v>
      </c>
      <c r="J2024" t="str">
        <f t="shared" si="613"/>
        <v>00</v>
      </c>
      <c r="K2024">
        <v>20150723</v>
      </c>
      <c r="L2024" t="str">
        <f>"TRS07A"</f>
        <v>TRS07A</v>
      </c>
      <c r="M2024" t="str">
        <f t="shared" si="623"/>
        <v>00355</v>
      </c>
      <c r="N2024" t="s">
        <v>295</v>
      </c>
      <c r="O2024" s="1">
        <v>7246</v>
      </c>
      <c r="Q2024" t="s">
        <v>33</v>
      </c>
      <c r="R2024" t="s">
        <v>34</v>
      </c>
      <c r="S2024" t="s">
        <v>35</v>
      </c>
      <c r="T2024" t="s">
        <v>35</v>
      </c>
      <c r="U2024" t="s">
        <v>34</v>
      </c>
      <c r="V2024" t="str">
        <f>""</f>
        <v/>
      </c>
      <c r="W2024">
        <v>20150723</v>
      </c>
      <c r="X2024" t="s">
        <v>993</v>
      </c>
      <c r="Y2024" t="s">
        <v>1009</v>
      </c>
      <c r="Z2024" t="s">
        <v>1009</v>
      </c>
      <c r="AA2024">
        <v>0</v>
      </c>
      <c r="AB2024" t="s">
        <v>142</v>
      </c>
      <c r="AC2024" t="s">
        <v>994</v>
      </c>
      <c r="AD2024" t="s">
        <v>144</v>
      </c>
      <c r="AE2024" t="str">
        <f>"07"</f>
        <v>07</v>
      </c>
      <c r="AF2024" t="s">
        <v>40</v>
      </c>
    </row>
    <row r="2025" spans="1:32" x14ac:dyDescent="0.25">
      <c r="A2025">
        <v>5</v>
      </c>
      <c r="B2025">
        <v>420</v>
      </c>
      <c r="C2025" t="str">
        <f t="shared" si="630"/>
        <v>00</v>
      </c>
      <c r="D2025">
        <v>2153</v>
      </c>
      <c r="E2025" t="str">
        <f t="shared" si="634"/>
        <v>00</v>
      </c>
      <c r="F2025" t="str">
        <f>"012"</f>
        <v>012</v>
      </c>
      <c r="G2025">
        <v>5</v>
      </c>
      <c r="H2025" t="str">
        <f t="shared" si="631"/>
        <v>00</v>
      </c>
      <c r="I2025" t="str">
        <f t="shared" si="619"/>
        <v>0</v>
      </c>
      <c r="J2025" t="str">
        <f t="shared" si="613"/>
        <v>00</v>
      </c>
      <c r="K2025">
        <v>20150723</v>
      </c>
      <c r="L2025" t="str">
        <f>"TRS07A"</f>
        <v>TRS07A</v>
      </c>
      <c r="M2025" t="str">
        <f t="shared" si="623"/>
        <v>00355</v>
      </c>
      <c r="N2025" t="s">
        <v>295</v>
      </c>
      <c r="O2025" s="1">
        <v>8259.5</v>
      </c>
      <c r="Q2025" t="s">
        <v>33</v>
      </c>
      <c r="R2025" t="s">
        <v>34</v>
      </c>
      <c r="S2025" t="s">
        <v>35</v>
      </c>
      <c r="T2025" t="s">
        <v>35</v>
      </c>
      <c r="U2025" t="s">
        <v>34</v>
      </c>
      <c r="V2025" t="str">
        <f>""</f>
        <v/>
      </c>
      <c r="W2025">
        <v>20150723</v>
      </c>
      <c r="X2025" t="s">
        <v>995</v>
      </c>
      <c r="Y2025" t="s">
        <v>1009</v>
      </c>
      <c r="Z2025" t="s">
        <v>1009</v>
      </c>
      <c r="AA2025">
        <v>0</v>
      </c>
      <c r="AB2025" t="s">
        <v>142</v>
      </c>
      <c r="AC2025" t="s">
        <v>996</v>
      </c>
      <c r="AD2025" t="s">
        <v>144</v>
      </c>
      <c r="AE2025" t="str">
        <f>"07"</f>
        <v>07</v>
      </c>
      <c r="AF2025" t="s">
        <v>40</v>
      </c>
    </row>
    <row r="2026" spans="1:32" x14ac:dyDescent="0.25">
      <c r="A2026">
        <v>5</v>
      </c>
      <c r="B2026">
        <v>420</v>
      </c>
      <c r="C2026" t="str">
        <f t="shared" si="630"/>
        <v>00</v>
      </c>
      <c r="D2026">
        <v>2153</v>
      </c>
      <c r="E2026" t="str">
        <f t="shared" si="634"/>
        <v>00</v>
      </c>
      <c r="F2026" t="str">
        <f>"010"</f>
        <v>010</v>
      </c>
      <c r="G2026">
        <v>5</v>
      </c>
      <c r="H2026" t="str">
        <f t="shared" si="631"/>
        <v>00</v>
      </c>
      <c r="I2026" t="str">
        <f t="shared" si="619"/>
        <v>0</v>
      </c>
      <c r="J2026" t="str">
        <f t="shared" si="613"/>
        <v>00</v>
      </c>
      <c r="K2026">
        <v>20140923</v>
      </c>
      <c r="L2026" t="str">
        <f>"TRS09A"</f>
        <v>TRS09A</v>
      </c>
      <c r="M2026" t="str">
        <f t="shared" si="623"/>
        <v>00355</v>
      </c>
      <c r="N2026" t="s">
        <v>295</v>
      </c>
      <c r="O2026" s="1">
        <v>1950</v>
      </c>
      <c r="Q2026" t="s">
        <v>33</v>
      </c>
      <c r="R2026" t="s">
        <v>34</v>
      </c>
      <c r="S2026" t="s">
        <v>35</v>
      </c>
      <c r="T2026" t="s">
        <v>35</v>
      </c>
      <c r="U2026" t="s">
        <v>34</v>
      </c>
      <c r="V2026" t="str">
        <f>""</f>
        <v/>
      </c>
      <c r="W2026">
        <v>20140923</v>
      </c>
      <c r="X2026" t="s">
        <v>990</v>
      </c>
      <c r="Y2026" t="s">
        <v>1010</v>
      </c>
      <c r="Z2026" t="s">
        <v>1010</v>
      </c>
      <c r="AA2026">
        <v>0</v>
      </c>
      <c r="AB2026" t="s">
        <v>142</v>
      </c>
      <c r="AC2026" t="s">
        <v>992</v>
      </c>
      <c r="AD2026" t="s">
        <v>144</v>
      </c>
      <c r="AE2026" t="str">
        <f t="shared" ref="AE2026:AE2034" si="635">"09"</f>
        <v>09</v>
      </c>
      <c r="AF2026" t="s">
        <v>40</v>
      </c>
    </row>
    <row r="2027" spans="1:32" x14ac:dyDescent="0.25">
      <c r="A2027">
        <v>5</v>
      </c>
      <c r="B2027">
        <v>420</v>
      </c>
      <c r="C2027" t="str">
        <f t="shared" si="630"/>
        <v>00</v>
      </c>
      <c r="D2027">
        <v>2153</v>
      </c>
      <c r="E2027" t="str">
        <f t="shared" si="634"/>
        <v>00</v>
      </c>
      <c r="F2027" t="str">
        <f>"011"</f>
        <v>011</v>
      </c>
      <c r="G2027">
        <v>5</v>
      </c>
      <c r="H2027" t="str">
        <f t="shared" si="631"/>
        <v>00</v>
      </c>
      <c r="I2027" t="str">
        <f t="shared" si="619"/>
        <v>0</v>
      </c>
      <c r="J2027" t="str">
        <f t="shared" si="613"/>
        <v>00</v>
      </c>
      <c r="K2027">
        <v>20140923</v>
      </c>
      <c r="L2027" t="str">
        <f>"TRS09A"</f>
        <v>TRS09A</v>
      </c>
      <c r="M2027" t="str">
        <f t="shared" si="623"/>
        <v>00355</v>
      </c>
      <c r="N2027" t="s">
        <v>295</v>
      </c>
      <c r="O2027" s="1">
        <v>6965</v>
      </c>
      <c r="Q2027" t="s">
        <v>33</v>
      </c>
      <c r="R2027" t="s">
        <v>34</v>
      </c>
      <c r="S2027" t="s">
        <v>35</v>
      </c>
      <c r="T2027" t="s">
        <v>35</v>
      </c>
      <c r="U2027" t="s">
        <v>34</v>
      </c>
      <c r="V2027" t="str">
        <f>""</f>
        <v/>
      </c>
      <c r="W2027">
        <v>20140923</v>
      </c>
      <c r="X2027" t="s">
        <v>993</v>
      </c>
      <c r="Y2027" t="s">
        <v>1010</v>
      </c>
      <c r="Z2027" t="s">
        <v>1010</v>
      </c>
      <c r="AA2027">
        <v>0</v>
      </c>
      <c r="AB2027" t="s">
        <v>142</v>
      </c>
      <c r="AC2027" t="s">
        <v>994</v>
      </c>
      <c r="AD2027" t="s">
        <v>144</v>
      </c>
      <c r="AE2027" t="str">
        <f t="shared" si="635"/>
        <v>09</v>
      </c>
      <c r="AF2027" t="s">
        <v>40</v>
      </c>
    </row>
    <row r="2028" spans="1:32" x14ac:dyDescent="0.25">
      <c r="A2028">
        <v>5</v>
      </c>
      <c r="B2028">
        <v>420</v>
      </c>
      <c r="C2028" t="str">
        <f t="shared" si="630"/>
        <v>00</v>
      </c>
      <c r="D2028">
        <v>2153</v>
      </c>
      <c r="E2028" t="str">
        <f t="shared" si="634"/>
        <v>00</v>
      </c>
      <c r="F2028" t="str">
        <f>"012"</f>
        <v>012</v>
      </c>
      <c r="G2028">
        <v>5</v>
      </c>
      <c r="H2028" t="str">
        <f t="shared" si="631"/>
        <v>00</v>
      </c>
      <c r="I2028" t="str">
        <f t="shared" si="619"/>
        <v>0</v>
      </c>
      <c r="J2028" t="str">
        <f t="shared" si="613"/>
        <v>00</v>
      </c>
      <c r="K2028">
        <v>20140923</v>
      </c>
      <c r="L2028" t="str">
        <f>"TRS09A"</f>
        <v>TRS09A</v>
      </c>
      <c r="M2028" t="str">
        <f t="shared" ref="M2028:M2059" si="636">"00355"</f>
        <v>00355</v>
      </c>
      <c r="N2028" t="s">
        <v>295</v>
      </c>
      <c r="O2028" s="1">
        <v>5848</v>
      </c>
      <c r="Q2028" t="s">
        <v>33</v>
      </c>
      <c r="R2028" t="s">
        <v>34</v>
      </c>
      <c r="S2028" t="s">
        <v>35</v>
      </c>
      <c r="T2028" t="s">
        <v>35</v>
      </c>
      <c r="U2028" t="s">
        <v>34</v>
      </c>
      <c r="V2028" t="str">
        <f>""</f>
        <v/>
      </c>
      <c r="W2028">
        <v>20140923</v>
      </c>
      <c r="X2028" t="s">
        <v>995</v>
      </c>
      <c r="Y2028" t="s">
        <v>1010</v>
      </c>
      <c r="Z2028" t="s">
        <v>1010</v>
      </c>
      <c r="AA2028">
        <v>0</v>
      </c>
      <c r="AB2028" t="s">
        <v>142</v>
      </c>
      <c r="AC2028" t="s">
        <v>996</v>
      </c>
      <c r="AD2028" t="s">
        <v>144</v>
      </c>
      <c r="AE2028" t="str">
        <f t="shared" si="635"/>
        <v>09</v>
      </c>
      <c r="AF2028" t="s">
        <v>40</v>
      </c>
    </row>
    <row r="2029" spans="1:32" x14ac:dyDescent="0.25">
      <c r="A2029">
        <v>5</v>
      </c>
      <c r="B2029">
        <v>420</v>
      </c>
      <c r="C2029" t="str">
        <f t="shared" si="630"/>
        <v>00</v>
      </c>
      <c r="D2029">
        <v>2155</v>
      </c>
      <c r="E2029" t="str">
        <f t="shared" si="634"/>
        <v>00</v>
      </c>
      <c r="F2029" t="str">
        <f t="shared" ref="F2029:F2048" si="637">"000"</f>
        <v>000</v>
      </c>
      <c r="G2029">
        <v>5</v>
      </c>
      <c r="H2029" t="str">
        <f t="shared" si="631"/>
        <v>00</v>
      </c>
      <c r="I2029" t="str">
        <f t="shared" si="619"/>
        <v>0</v>
      </c>
      <c r="J2029" t="str">
        <f t="shared" si="613"/>
        <v>00</v>
      </c>
      <c r="K2029">
        <v>20140930</v>
      </c>
      <c r="L2029" t="str">
        <f t="shared" ref="L2029:L2047" si="638">"TRS09B"</f>
        <v>TRS09B</v>
      </c>
      <c r="M2029" t="str">
        <f t="shared" si="636"/>
        <v>00355</v>
      </c>
      <c r="N2029" t="s">
        <v>295</v>
      </c>
      <c r="O2029" s="1">
        <v>9726.76</v>
      </c>
      <c r="Q2029" t="s">
        <v>33</v>
      </c>
      <c r="R2029" t="s">
        <v>34</v>
      </c>
      <c r="S2029" t="s">
        <v>35</v>
      </c>
      <c r="T2029" t="s">
        <v>35</v>
      </c>
      <c r="U2029" t="s">
        <v>34</v>
      </c>
      <c r="V2029" t="str">
        <f>""</f>
        <v/>
      </c>
      <c r="W2029">
        <v>20140930</v>
      </c>
      <c r="X2029" t="s">
        <v>997</v>
      </c>
      <c r="Y2029" t="s">
        <v>986</v>
      </c>
      <c r="Z2029" t="s">
        <v>986</v>
      </c>
      <c r="AA2029">
        <v>0</v>
      </c>
      <c r="AB2029" t="s">
        <v>142</v>
      </c>
      <c r="AC2029" t="s">
        <v>39</v>
      </c>
      <c r="AD2029" t="s">
        <v>144</v>
      </c>
      <c r="AE2029" t="str">
        <f t="shared" si="635"/>
        <v>09</v>
      </c>
      <c r="AF2029" t="s">
        <v>40</v>
      </c>
    </row>
    <row r="2030" spans="1:32" x14ac:dyDescent="0.25">
      <c r="A2030">
        <v>5</v>
      </c>
      <c r="B2030">
        <v>420</v>
      </c>
      <c r="C2030" t="str">
        <f t="shared" si="630"/>
        <v>00</v>
      </c>
      <c r="D2030">
        <v>2155</v>
      </c>
      <c r="E2030" t="str">
        <f>"01"</f>
        <v>01</v>
      </c>
      <c r="F2030" t="str">
        <f t="shared" si="637"/>
        <v>000</v>
      </c>
      <c r="G2030">
        <v>5</v>
      </c>
      <c r="H2030" t="str">
        <f t="shared" si="631"/>
        <v>00</v>
      </c>
      <c r="I2030" t="str">
        <f t="shared" si="619"/>
        <v>0</v>
      </c>
      <c r="J2030" t="str">
        <f t="shared" si="613"/>
        <v>00</v>
      </c>
      <c r="K2030">
        <v>20140930</v>
      </c>
      <c r="L2030" t="str">
        <f t="shared" si="638"/>
        <v>TRS09B</v>
      </c>
      <c r="M2030" t="str">
        <f t="shared" si="636"/>
        <v>00355</v>
      </c>
      <c r="N2030" t="s">
        <v>295</v>
      </c>
      <c r="O2030">
        <v>426.9</v>
      </c>
      <c r="Q2030" t="s">
        <v>33</v>
      </c>
      <c r="R2030" t="s">
        <v>34</v>
      </c>
      <c r="S2030" t="s">
        <v>35</v>
      </c>
      <c r="T2030" t="s">
        <v>35</v>
      </c>
      <c r="U2030" t="s">
        <v>34</v>
      </c>
      <c r="V2030" t="str">
        <f>""</f>
        <v/>
      </c>
      <c r="W2030">
        <v>20140930</v>
      </c>
      <c r="X2030" t="s">
        <v>998</v>
      </c>
      <c r="Y2030" t="s">
        <v>986</v>
      </c>
      <c r="Z2030" t="s">
        <v>986</v>
      </c>
      <c r="AA2030">
        <v>0</v>
      </c>
      <c r="AB2030" t="s">
        <v>142</v>
      </c>
      <c r="AC2030" t="s">
        <v>39</v>
      </c>
      <c r="AD2030" t="s">
        <v>144</v>
      </c>
      <c r="AE2030" t="str">
        <f t="shared" si="635"/>
        <v>09</v>
      </c>
      <c r="AF2030" t="s">
        <v>40</v>
      </c>
    </row>
    <row r="2031" spans="1:32" x14ac:dyDescent="0.25">
      <c r="A2031">
        <v>5</v>
      </c>
      <c r="B2031">
        <v>420</v>
      </c>
      <c r="C2031" t="str">
        <f t="shared" si="630"/>
        <v>00</v>
      </c>
      <c r="D2031">
        <v>2155</v>
      </c>
      <c r="E2031" t="str">
        <f>"03"</f>
        <v>03</v>
      </c>
      <c r="F2031" t="str">
        <f t="shared" si="637"/>
        <v>000</v>
      </c>
      <c r="G2031">
        <v>5</v>
      </c>
      <c r="H2031" t="str">
        <f t="shared" si="631"/>
        <v>00</v>
      </c>
      <c r="I2031" t="str">
        <f t="shared" si="619"/>
        <v>0</v>
      </c>
      <c r="J2031" t="str">
        <f t="shared" si="613"/>
        <v>00</v>
      </c>
      <c r="K2031">
        <v>20140930</v>
      </c>
      <c r="L2031" t="str">
        <f t="shared" si="638"/>
        <v>TRS09B</v>
      </c>
      <c r="M2031" t="str">
        <f t="shared" si="636"/>
        <v>00355</v>
      </c>
      <c r="N2031" t="s">
        <v>295</v>
      </c>
      <c r="O2031">
        <v>62.78</v>
      </c>
      <c r="Q2031" t="s">
        <v>33</v>
      </c>
      <c r="R2031" t="s">
        <v>34</v>
      </c>
      <c r="S2031" t="s">
        <v>35</v>
      </c>
      <c r="T2031" t="s">
        <v>35</v>
      </c>
      <c r="U2031" t="s">
        <v>34</v>
      </c>
      <c r="V2031" t="str">
        <f>""</f>
        <v/>
      </c>
      <c r="W2031">
        <v>20140930</v>
      </c>
      <c r="X2031" t="s">
        <v>999</v>
      </c>
      <c r="Y2031" t="s">
        <v>986</v>
      </c>
      <c r="Z2031" t="s">
        <v>986</v>
      </c>
      <c r="AA2031">
        <v>0</v>
      </c>
      <c r="AB2031" t="s">
        <v>142</v>
      </c>
      <c r="AC2031" t="s">
        <v>39</v>
      </c>
      <c r="AD2031" t="s">
        <v>144</v>
      </c>
      <c r="AE2031" t="str">
        <f t="shared" si="635"/>
        <v>09</v>
      </c>
      <c r="AF2031" t="s">
        <v>40</v>
      </c>
    </row>
    <row r="2032" spans="1:32" x14ac:dyDescent="0.25">
      <c r="A2032">
        <v>5</v>
      </c>
      <c r="B2032">
        <v>420</v>
      </c>
      <c r="C2032" t="str">
        <f t="shared" si="630"/>
        <v>00</v>
      </c>
      <c r="D2032">
        <v>2155</v>
      </c>
      <c r="E2032" t="str">
        <f>"04"</f>
        <v>04</v>
      </c>
      <c r="F2032" t="str">
        <f t="shared" si="637"/>
        <v>000</v>
      </c>
      <c r="G2032">
        <v>5</v>
      </c>
      <c r="H2032" t="str">
        <f t="shared" si="631"/>
        <v>00</v>
      </c>
      <c r="I2032" t="str">
        <f t="shared" si="619"/>
        <v>0</v>
      </c>
      <c r="J2032" t="str">
        <f t="shared" si="613"/>
        <v>00</v>
      </c>
      <c r="K2032">
        <v>20140930</v>
      </c>
      <c r="L2032" t="str">
        <f t="shared" si="638"/>
        <v>TRS09B</v>
      </c>
      <c r="M2032" t="str">
        <f t="shared" si="636"/>
        <v>00355</v>
      </c>
      <c r="N2032" t="s">
        <v>295</v>
      </c>
      <c r="O2032">
        <v>758.83</v>
      </c>
      <c r="Q2032" t="s">
        <v>33</v>
      </c>
      <c r="R2032" t="s">
        <v>34</v>
      </c>
      <c r="S2032" t="s">
        <v>35</v>
      </c>
      <c r="T2032" t="s">
        <v>35</v>
      </c>
      <c r="U2032" t="s">
        <v>34</v>
      </c>
      <c r="V2032" t="str">
        <f>""</f>
        <v/>
      </c>
      <c r="W2032">
        <v>20140930</v>
      </c>
      <c r="X2032" t="s">
        <v>1000</v>
      </c>
      <c r="Y2032" t="s">
        <v>986</v>
      </c>
      <c r="Z2032" t="s">
        <v>986</v>
      </c>
      <c r="AA2032">
        <v>0</v>
      </c>
      <c r="AB2032" t="s">
        <v>142</v>
      </c>
      <c r="AC2032" t="s">
        <v>39</v>
      </c>
      <c r="AD2032" t="s">
        <v>144</v>
      </c>
      <c r="AE2032" t="str">
        <f t="shared" si="635"/>
        <v>09</v>
      </c>
      <c r="AF2032" t="s">
        <v>40</v>
      </c>
    </row>
    <row r="2033" spans="1:32" x14ac:dyDescent="0.25">
      <c r="A2033">
        <v>5</v>
      </c>
      <c r="B2033">
        <v>420</v>
      </c>
      <c r="C2033" t="str">
        <f t="shared" si="630"/>
        <v>00</v>
      </c>
      <c r="D2033">
        <v>2155</v>
      </c>
      <c r="E2033" t="str">
        <f>"05"</f>
        <v>05</v>
      </c>
      <c r="F2033" t="str">
        <f t="shared" si="637"/>
        <v>000</v>
      </c>
      <c r="G2033">
        <v>5</v>
      </c>
      <c r="H2033" t="str">
        <f t="shared" si="631"/>
        <v>00</v>
      </c>
      <c r="I2033" t="str">
        <f t="shared" si="619"/>
        <v>0</v>
      </c>
      <c r="J2033" t="str">
        <f t="shared" si="613"/>
        <v>00</v>
      </c>
      <c r="K2033">
        <v>20140930</v>
      </c>
      <c r="L2033" t="str">
        <f t="shared" si="638"/>
        <v>TRS09B</v>
      </c>
      <c r="M2033" t="str">
        <f t="shared" si="636"/>
        <v>00355</v>
      </c>
      <c r="N2033" t="s">
        <v>295</v>
      </c>
      <c r="O2033">
        <v>533.19000000000005</v>
      </c>
      <c r="Q2033" t="s">
        <v>33</v>
      </c>
      <c r="R2033" t="s">
        <v>34</v>
      </c>
      <c r="S2033" t="s">
        <v>35</v>
      </c>
      <c r="T2033" t="s">
        <v>35</v>
      </c>
      <c r="U2033" t="s">
        <v>34</v>
      </c>
      <c r="V2033" t="str">
        <f>""</f>
        <v/>
      </c>
      <c r="W2033">
        <v>20140930</v>
      </c>
      <c r="X2033" t="s">
        <v>1001</v>
      </c>
      <c r="Y2033" t="s">
        <v>986</v>
      </c>
      <c r="Z2033" t="s">
        <v>986</v>
      </c>
      <c r="AA2033">
        <v>0</v>
      </c>
      <c r="AB2033" t="s">
        <v>142</v>
      </c>
      <c r="AC2033" t="s">
        <v>39</v>
      </c>
      <c r="AD2033" t="s">
        <v>144</v>
      </c>
      <c r="AE2033" t="str">
        <f t="shared" si="635"/>
        <v>09</v>
      </c>
      <c r="AF2033" t="s">
        <v>40</v>
      </c>
    </row>
    <row r="2034" spans="1:32" x14ac:dyDescent="0.25">
      <c r="A2034">
        <v>5</v>
      </c>
      <c r="B2034">
        <v>420</v>
      </c>
      <c r="C2034" t="str">
        <f t="shared" si="630"/>
        <v>00</v>
      </c>
      <c r="D2034">
        <v>2155</v>
      </c>
      <c r="E2034" t="str">
        <f>"06"</f>
        <v>06</v>
      </c>
      <c r="F2034" t="str">
        <f t="shared" si="637"/>
        <v>000</v>
      </c>
      <c r="G2034">
        <v>5</v>
      </c>
      <c r="H2034" t="str">
        <f t="shared" si="631"/>
        <v>00</v>
      </c>
      <c r="I2034" t="str">
        <f t="shared" si="619"/>
        <v>0</v>
      </c>
      <c r="J2034" t="str">
        <f t="shared" si="613"/>
        <v>00</v>
      </c>
      <c r="K2034">
        <v>20140930</v>
      </c>
      <c r="L2034" t="str">
        <f t="shared" si="638"/>
        <v>TRS09B</v>
      </c>
      <c r="M2034" t="str">
        <f t="shared" si="636"/>
        <v>00355</v>
      </c>
      <c r="N2034" t="s">
        <v>295</v>
      </c>
      <c r="O2034">
        <v>262.57</v>
      </c>
      <c r="Q2034" t="s">
        <v>33</v>
      </c>
      <c r="R2034" t="s">
        <v>34</v>
      </c>
      <c r="S2034" t="s">
        <v>35</v>
      </c>
      <c r="T2034" t="s">
        <v>35</v>
      </c>
      <c r="U2034" t="s">
        <v>34</v>
      </c>
      <c r="V2034" t="str">
        <f>""</f>
        <v/>
      </c>
      <c r="W2034">
        <v>20140930</v>
      </c>
      <c r="X2034" t="s">
        <v>1002</v>
      </c>
      <c r="Y2034" t="s">
        <v>986</v>
      </c>
      <c r="Z2034" t="s">
        <v>986</v>
      </c>
      <c r="AA2034">
        <v>0</v>
      </c>
      <c r="AB2034" t="s">
        <v>142</v>
      </c>
      <c r="AC2034" t="s">
        <v>39</v>
      </c>
      <c r="AD2034" t="s">
        <v>144</v>
      </c>
      <c r="AE2034" t="str">
        <f t="shared" si="635"/>
        <v>09</v>
      </c>
      <c r="AF2034" t="s">
        <v>40</v>
      </c>
    </row>
    <row r="2035" spans="1:32" x14ac:dyDescent="0.25">
      <c r="A2035">
        <v>5</v>
      </c>
      <c r="B2035">
        <v>420</v>
      </c>
      <c r="C2035" t="str">
        <f t="shared" si="630"/>
        <v>00</v>
      </c>
      <c r="D2035">
        <v>2155</v>
      </c>
      <c r="E2035" t="str">
        <f>"00"</f>
        <v>00</v>
      </c>
      <c r="F2035" t="str">
        <f t="shared" si="637"/>
        <v>000</v>
      </c>
      <c r="G2035">
        <v>5</v>
      </c>
      <c r="H2035" t="str">
        <f t="shared" si="631"/>
        <v>00</v>
      </c>
      <c r="I2035" t="str">
        <f t="shared" si="619"/>
        <v>0</v>
      </c>
      <c r="J2035" t="str">
        <f t="shared" ref="J2035:J2075" si="639">"00"</f>
        <v>00</v>
      </c>
      <c r="K2035">
        <v>20141006</v>
      </c>
      <c r="L2035" t="str">
        <f t="shared" si="638"/>
        <v>TRS09B</v>
      </c>
      <c r="M2035" t="str">
        <f t="shared" si="636"/>
        <v>00355</v>
      </c>
      <c r="N2035" t="s">
        <v>295</v>
      </c>
      <c r="O2035" s="1">
        <v>13891.79</v>
      </c>
      <c r="Q2035" t="s">
        <v>33</v>
      </c>
      <c r="R2035" t="s">
        <v>34</v>
      </c>
      <c r="S2035" t="s">
        <v>35</v>
      </c>
      <c r="T2035" t="s">
        <v>35</v>
      </c>
      <c r="U2035" t="s">
        <v>34</v>
      </c>
      <c r="V2035" t="str">
        <f>""</f>
        <v/>
      </c>
      <c r="W2035">
        <v>20141006</v>
      </c>
      <c r="X2035" t="s">
        <v>997</v>
      </c>
      <c r="Y2035" t="s">
        <v>987</v>
      </c>
      <c r="Z2035" t="s">
        <v>987</v>
      </c>
      <c r="AA2035">
        <v>0</v>
      </c>
      <c r="AB2035" t="s">
        <v>142</v>
      </c>
      <c r="AC2035" t="s">
        <v>39</v>
      </c>
      <c r="AD2035" t="s">
        <v>144</v>
      </c>
      <c r="AE2035" t="str">
        <f t="shared" ref="AE2035:AE2040" si="640">"10"</f>
        <v>10</v>
      </c>
      <c r="AF2035" t="s">
        <v>40</v>
      </c>
    </row>
    <row r="2036" spans="1:32" x14ac:dyDescent="0.25">
      <c r="A2036">
        <v>5</v>
      </c>
      <c r="B2036">
        <v>420</v>
      </c>
      <c r="C2036" t="str">
        <f t="shared" si="630"/>
        <v>00</v>
      </c>
      <c r="D2036">
        <v>2155</v>
      </c>
      <c r="E2036" t="str">
        <f>"01"</f>
        <v>01</v>
      </c>
      <c r="F2036" t="str">
        <f t="shared" si="637"/>
        <v>000</v>
      </c>
      <c r="G2036">
        <v>5</v>
      </c>
      <c r="H2036" t="str">
        <f t="shared" si="631"/>
        <v>00</v>
      </c>
      <c r="I2036" t="str">
        <f t="shared" si="619"/>
        <v>0</v>
      </c>
      <c r="J2036" t="str">
        <f t="shared" si="639"/>
        <v>00</v>
      </c>
      <c r="K2036">
        <v>20141006</v>
      </c>
      <c r="L2036" t="str">
        <f t="shared" si="638"/>
        <v>TRS09B</v>
      </c>
      <c r="M2036" t="str">
        <f t="shared" si="636"/>
        <v>00355</v>
      </c>
      <c r="N2036" t="s">
        <v>295</v>
      </c>
      <c r="O2036">
        <v>791.32</v>
      </c>
      <c r="Q2036" t="s">
        <v>33</v>
      </c>
      <c r="R2036" t="s">
        <v>34</v>
      </c>
      <c r="S2036" t="s">
        <v>35</v>
      </c>
      <c r="T2036" t="s">
        <v>35</v>
      </c>
      <c r="U2036" t="s">
        <v>34</v>
      </c>
      <c r="V2036" t="str">
        <f>""</f>
        <v/>
      </c>
      <c r="W2036">
        <v>20141006</v>
      </c>
      <c r="X2036" t="s">
        <v>998</v>
      </c>
      <c r="Y2036" t="s">
        <v>987</v>
      </c>
      <c r="Z2036" t="s">
        <v>987</v>
      </c>
      <c r="AA2036">
        <v>0</v>
      </c>
      <c r="AB2036" t="s">
        <v>142</v>
      </c>
      <c r="AC2036" t="s">
        <v>39</v>
      </c>
      <c r="AD2036" t="s">
        <v>144</v>
      </c>
      <c r="AE2036" t="str">
        <f t="shared" si="640"/>
        <v>10</v>
      </c>
      <c r="AF2036" t="s">
        <v>40</v>
      </c>
    </row>
    <row r="2037" spans="1:32" x14ac:dyDescent="0.25">
      <c r="A2037">
        <v>5</v>
      </c>
      <c r="B2037">
        <v>420</v>
      </c>
      <c r="C2037" t="str">
        <f t="shared" si="630"/>
        <v>00</v>
      </c>
      <c r="D2037">
        <v>2155</v>
      </c>
      <c r="E2037" t="str">
        <f>"03"</f>
        <v>03</v>
      </c>
      <c r="F2037" t="str">
        <f t="shared" si="637"/>
        <v>000</v>
      </c>
      <c r="G2037">
        <v>5</v>
      </c>
      <c r="H2037" t="str">
        <f t="shared" si="631"/>
        <v>00</v>
      </c>
      <c r="I2037" t="str">
        <f t="shared" si="619"/>
        <v>0</v>
      </c>
      <c r="J2037" t="str">
        <f t="shared" si="639"/>
        <v>00</v>
      </c>
      <c r="K2037">
        <v>20141006</v>
      </c>
      <c r="L2037" t="str">
        <f t="shared" si="638"/>
        <v>TRS09B</v>
      </c>
      <c r="M2037" t="str">
        <f t="shared" si="636"/>
        <v>00355</v>
      </c>
      <c r="N2037" t="s">
        <v>295</v>
      </c>
      <c r="O2037">
        <v>116.37</v>
      </c>
      <c r="Q2037" t="s">
        <v>33</v>
      </c>
      <c r="R2037" t="s">
        <v>34</v>
      </c>
      <c r="S2037" t="s">
        <v>35</v>
      </c>
      <c r="T2037" t="s">
        <v>35</v>
      </c>
      <c r="U2037" t="s">
        <v>34</v>
      </c>
      <c r="V2037" t="str">
        <f>""</f>
        <v/>
      </c>
      <c r="W2037">
        <v>20141006</v>
      </c>
      <c r="X2037" t="s">
        <v>999</v>
      </c>
      <c r="Y2037" t="s">
        <v>987</v>
      </c>
      <c r="Z2037" t="s">
        <v>987</v>
      </c>
      <c r="AA2037">
        <v>0</v>
      </c>
      <c r="AB2037" t="s">
        <v>142</v>
      </c>
      <c r="AC2037" t="s">
        <v>39</v>
      </c>
      <c r="AD2037" t="s">
        <v>144</v>
      </c>
      <c r="AE2037" t="str">
        <f t="shared" si="640"/>
        <v>10</v>
      </c>
      <c r="AF2037" t="s">
        <v>40</v>
      </c>
    </row>
    <row r="2038" spans="1:32" x14ac:dyDescent="0.25">
      <c r="A2038">
        <v>5</v>
      </c>
      <c r="B2038">
        <v>420</v>
      </c>
      <c r="C2038" t="str">
        <f t="shared" si="630"/>
        <v>00</v>
      </c>
      <c r="D2038">
        <v>2155</v>
      </c>
      <c r="E2038" t="str">
        <f>"04"</f>
        <v>04</v>
      </c>
      <c r="F2038" t="str">
        <f t="shared" si="637"/>
        <v>000</v>
      </c>
      <c r="G2038">
        <v>5</v>
      </c>
      <c r="H2038" t="str">
        <f t="shared" si="631"/>
        <v>00</v>
      </c>
      <c r="I2038" t="str">
        <f t="shared" si="619"/>
        <v>0</v>
      </c>
      <c r="J2038" t="str">
        <f t="shared" si="639"/>
        <v>00</v>
      </c>
      <c r="K2038">
        <v>20141006</v>
      </c>
      <c r="L2038" t="str">
        <f t="shared" si="638"/>
        <v>TRS09B</v>
      </c>
      <c r="M2038" t="str">
        <f t="shared" si="636"/>
        <v>00355</v>
      </c>
      <c r="N2038" t="s">
        <v>295</v>
      </c>
      <c r="O2038" s="1">
        <v>1039.55</v>
      </c>
      <c r="Q2038" t="s">
        <v>33</v>
      </c>
      <c r="R2038" t="s">
        <v>34</v>
      </c>
      <c r="S2038" t="s">
        <v>35</v>
      </c>
      <c r="T2038" t="s">
        <v>35</v>
      </c>
      <c r="U2038" t="s">
        <v>34</v>
      </c>
      <c r="V2038" t="str">
        <f>""</f>
        <v/>
      </c>
      <c r="W2038">
        <v>20141006</v>
      </c>
      <c r="X2038" t="s">
        <v>1000</v>
      </c>
      <c r="Y2038" t="s">
        <v>987</v>
      </c>
      <c r="Z2038" t="s">
        <v>987</v>
      </c>
      <c r="AA2038">
        <v>0</v>
      </c>
      <c r="AB2038" t="s">
        <v>142</v>
      </c>
      <c r="AC2038" t="s">
        <v>39</v>
      </c>
      <c r="AD2038" t="s">
        <v>144</v>
      </c>
      <c r="AE2038" t="str">
        <f t="shared" si="640"/>
        <v>10</v>
      </c>
      <c r="AF2038" t="s">
        <v>40</v>
      </c>
    </row>
    <row r="2039" spans="1:32" x14ac:dyDescent="0.25">
      <c r="A2039">
        <v>5</v>
      </c>
      <c r="B2039">
        <v>420</v>
      </c>
      <c r="C2039" t="str">
        <f t="shared" si="630"/>
        <v>00</v>
      </c>
      <c r="D2039">
        <v>2155</v>
      </c>
      <c r="E2039" t="str">
        <f>"05"</f>
        <v>05</v>
      </c>
      <c r="F2039" t="str">
        <f t="shared" si="637"/>
        <v>000</v>
      </c>
      <c r="G2039">
        <v>5</v>
      </c>
      <c r="H2039" t="str">
        <f t="shared" si="631"/>
        <v>00</v>
      </c>
      <c r="I2039" t="str">
        <f t="shared" si="619"/>
        <v>0</v>
      </c>
      <c r="J2039" t="str">
        <f t="shared" si="639"/>
        <v>00</v>
      </c>
      <c r="K2039">
        <v>20141006</v>
      </c>
      <c r="L2039" t="str">
        <f t="shared" si="638"/>
        <v>TRS09B</v>
      </c>
      <c r="M2039" t="str">
        <f t="shared" si="636"/>
        <v>00355</v>
      </c>
      <c r="N2039" t="s">
        <v>295</v>
      </c>
      <c r="O2039" s="1">
        <v>2976.99</v>
      </c>
      <c r="Q2039" t="s">
        <v>33</v>
      </c>
      <c r="R2039" t="s">
        <v>34</v>
      </c>
      <c r="S2039" t="s">
        <v>35</v>
      </c>
      <c r="T2039" t="s">
        <v>35</v>
      </c>
      <c r="U2039" t="s">
        <v>34</v>
      </c>
      <c r="V2039" t="str">
        <f>""</f>
        <v/>
      </c>
      <c r="W2039">
        <v>20141006</v>
      </c>
      <c r="X2039" t="s">
        <v>1001</v>
      </c>
      <c r="Y2039" t="s">
        <v>987</v>
      </c>
      <c r="Z2039" t="s">
        <v>987</v>
      </c>
      <c r="AA2039">
        <v>0</v>
      </c>
      <c r="AB2039" t="s">
        <v>142</v>
      </c>
      <c r="AC2039" t="s">
        <v>39</v>
      </c>
      <c r="AD2039" t="s">
        <v>144</v>
      </c>
      <c r="AE2039" t="str">
        <f t="shared" si="640"/>
        <v>10</v>
      </c>
      <c r="AF2039" t="s">
        <v>40</v>
      </c>
    </row>
    <row r="2040" spans="1:32" x14ac:dyDescent="0.25">
      <c r="A2040">
        <v>5</v>
      </c>
      <c r="B2040">
        <v>420</v>
      </c>
      <c r="C2040" t="str">
        <f t="shared" si="630"/>
        <v>00</v>
      </c>
      <c r="D2040">
        <v>2155</v>
      </c>
      <c r="E2040" t="str">
        <f>"06"</f>
        <v>06</v>
      </c>
      <c r="F2040" t="str">
        <f t="shared" si="637"/>
        <v>000</v>
      </c>
      <c r="G2040">
        <v>5</v>
      </c>
      <c r="H2040" t="str">
        <f t="shared" si="631"/>
        <v>00</v>
      </c>
      <c r="I2040" t="str">
        <f t="shared" si="619"/>
        <v>0</v>
      </c>
      <c r="J2040" t="str">
        <f t="shared" si="639"/>
        <v>00</v>
      </c>
      <c r="K2040">
        <v>20141006</v>
      </c>
      <c r="L2040" t="str">
        <f t="shared" si="638"/>
        <v>TRS09B</v>
      </c>
      <c r="M2040" t="str">
        <f t="shared" si="636"/>
        <v>00355</v>
      </c>
      <c r="N2040" t="s">
        <v>295</v>
      </c>
      <c r="O2040">
        <v>434.37</v>
      </c>
      <c r="Q2040" t="s">
        <v>33</v>
      </c>
      <c r="R2040" t="s">
        <v>34</v>
      </c>
      <c r="S2040" t="s">
        <v>35</v>
      </c>
      <c r="T2040" t="s">
        <v>35</v>
      </c>
      <c r="U2040" t="s">
        <v>34</v>
      </c>
      <c r="V2040" t="str">
        <f>""</f>
        <v/>
      </c>
      <c r="W2040">
        <v>20141006</v>
      </c>
      <c r="X2040" t="s">
        <v>1002</v>
      </c>
      <c r="Y2040" t="s">
        <v>987</v>
      </c>
      <c r="Z2040" t="s">
        <v>987</v>
      </c>
      <c r="AA2040">
        <v>0</v>
      </c>
      <c r="AB2040" t="s">
        <v>142</v>
      </c>
      <c r="AC2040" t="s">
        <v>39</v>
      </c>
      <c r="AD2040" t="s">
        <v>144</v>
      </c>
      <c r="AE2040" t="str">
        <f t="shared" si="640"/>
        <v>10</v>
      </c>
      <c r="AF2040" t="s">
        <v>40</v>
      </c>
    </row>
    <row r="2041" spans="1:32" x14ac:dyDescent="0.25">
      <c r="A2041">
        <v>5</v>
      </c>
      <c r="B2041">
        <v>420</v>
      </c>
      <c r="C2041" t="str">
        <f t="shared" si="630"/>
        <v>00</v>
      </c>
      <c r="D2041">
        <v>2155</v>
      </c>
      <c r="E2041" t="str">
        <f>"00"</f>
        <v>00</v>
      </c>
      <c r="F2041" t="str">
        <f t="shared" si="637"/>
        <v>000</v>
      </c>
      <c r="G2041">
        <v>5</v>
      </c>
      <c r="H2041" t="str">
        <f t="shared" si="631"/>
        <v>00</v>
      </c>
      <c r="I2041" t="str">
        <f t="shared" si="619"/>
        <v>0</v>
      </c>
      <c r="J2041" t="str">
        <f t="shared" si="639"/>
        <v>00</v>
      </c>
      <c r="K2041">
        <v>20141105</v>
      </c>
      <c r="L2041" t="str">
        <f t="shared" si="638"/>
        <v>TRS09B</v>
      </c>
      <c r="M2041" t="str">
        <f t="shared" si="636"/>
        <v>00355</v>
      </c>
      <c r="N2041" t="s">
        <v>295</v>
      </c>
      <c r="O2041" s="1">
        <v>14162.09</v>
      </c>
      <c r="Q2041" t="s">
        <v>33</v>
      </c>
      <c r="R2041" t="s">
        <v>34</v>
      </c>
      <c r="S2041" t="s">
        <v>35</v>
      </c>
      <c r="T2041" t="s">
        <v>35</v>
      </c>
      <c r="U2041" t="s">
        <v>34</v>
      </c>
      <c r="V2041" t="str">
        <f>""</f>
        <v/>
      </c>
      <c r="W2041">
        <v>20141105</v>
      </c>
      <c r="X2041" t="s">
        <v>997</v>
      </c>
      <c r="Y2041" t="s">
        <v>988</v>
      </c>
      <c r="Z2041" t="s">
        <v>988</v>
      </c>
      <c r="AA2041">
        <v>0</v>
      </c>
      <c r="AB2041" t="s">
        <v>142</v>
      </c>
      <c r="AC2041" t="s">
        <v>39</v>
      </c>
      <c r="AD2041" t="s">
        <v>144</v>
      </c>
      <c r="AE2041" t="str">
        <f t="shared" ref="AE2041:AE2047" si="641">"11"</f>
        <v>11</v>
      </c>
      <c r="AF2041" t="s">
        <v>40</v>
      </c>
    </row>
    <row r="2042" spans="1:32" x14ac:dyDescent="0.25">
      <c r="A2042">
        <v>5</v>
      </c>
      <c r="B2042">
        <v>420</v>
      </c>
      <c r="C2042" t="str">
        <f t="shared" si="630"/>
        <v>00</v>
      </c>
      <c r="D2042">
        <v>2155</v>
      </c>
      <c r="E2042" t="str">
        <f>"01"</f>
        <v>01</v>
      </c>
      <c r="F2042" t="str">
        <f t="shared" si="637"/>
        <v>000</v>
      </c>
      <c r="G2042">
        <v>5</v>
      </c>
      <c r="H2042" t="str">
        <f t="shared" si="631"/>
        <v>00</v>
      </c>
      <c r="I2042" t="str">
        <f t="shared" si="619"/>
        <v>0</v>
      </c>
      <c r="J2042" t="str">
        <f t="shared" si="639"/>
        <v>00</v>
      </c>
      <c r="K2042">
        <v>20141105</v>
      </c>
      <c r="L2042" t="str">
        <f t="shared" si="638"/>
        <v>TRS09B</v>
      </c>
      <c r="M2042" t="str">
        <f t="shared" si="636"/>
        <v>00355</v>
      </c>
      <c r="N2042" t="s">
        <v>295</v>
      </c>
      <c r="O2042" s="1">
        <v>1114.58</v>
      </c>
      <c r="Q2042" t="s">
        <v>33</v>
      </c>
      <c r="R2042" t="s">
        <v>34</v>
      </c>
      <c r="S2042" t="s">
        <v>35</v>
      </c>
      <c r="T2042" t="s">
        <v>35</v>
      </c>
      <c r="U2042" t="s">
        <v>34</v>
      </c>
      <c r="V2042" t="str">
        <f>""</f>
        <v/>
      </c>
      <c r="W2042">
        <v>20141105</v>
      </c>
      <c r="X2042" t="s">
        <v>998</v>
      </c>
      <c r="Y2042" t="s">
        <v>988</v>
      </c>
      <c r="Z2042" t="s">
        <v>988</v>
      </c>
      <c r="AA2042">
        <v>0</v>
      </c>
      <c r="AB2042" t="s">
        <v>142</v>
      </c>
      <c r="AC2042" t="s">
        <v>39</v>
      </c>
      <c r="AD2042" t="s">
        <v>144</v>
      </c>
      <c r="AE2042" t="str">
        <f t="shared" si="641"/>
        <v>11</v>
      </c>
      <c r="AF2042" t="s">
        <v>40</v>
      </c>
    </row>
    <row r="2043" spans="1:32" x14ac:dyDescent="0.25">
      <c r="A2043">
        <v>5</v>
      </c>
      <c r="B2043">
        <v>420</v>
      </c>
      <c r="C2043" t="str">
        <f t="shared" si="630"/>
        <v>00</v>
      </c>
      <c r="D2043">
        <v>2155</v>
      </c>
      <c r="E2043" t="str">
        <f>"03"</f>
        <v>03</v>
      </c>
      <c r="F2043" t="str">
        <f t="shared" si="637"/>
        <v>000</v>
      </c>
      <c r="G2043">
        <v>5</v>
      </c>
      <c r="H2043" t="str">
        <f t="shared" si="631"/>
        <v>00</v>
      </c>
      <c r="I2043" t="str">
        <f t="shared" si="619"/>
        <v>0</v>
      </c>
      <c r="J2043" t="str">
        <f t="shared" si="639"/>
        <v>00</v>
      </c>
      <c r="K2043">
        <v>20141105</v>
      </c>
      <c r="L2043" t="str">
        <f t="shared" si="638"/>
        <v>TRS09B</v>
      </c>
      <c r="M2043" t="str">
        <f t="shared" si="636"/>
        <v>00355</v>
      </c>
      <c r="N2043" t="s">
        <v>295</v>
      </c>
      <c r="O2043">
        <v>163.92</v>
      </c>
      <c r="Q2043" t="s">
        <v>33</v>
      </c>
      <c r="R2043" t="s">
        <v>34</v>
      </c>
      <c r="S2043" t="s">
        <v>35</v>
      </c>
      <c r="T2043" t="s">
        <v>35</v>
      </c>
      <c r="U2043" t="s">
        <v>34</v>
      </c>
      <c r="V2043" t="str">
        <f>""</f>
        <v/>
      </c>
      <c r="W2043">
        <v>20141105</v>
      </c>
      <c r="X2043" t="s">
        <v>999</v>
      </c>
      <c r="Y2043" t="s">
        <v>988</v>
      </c>
      <c r="Z2043" t="s">
        <v>988</v>
      </c>
      <c r="AA2043">
        <v>0</v>
      </c>
      <c r="AB2043" t="s">
        <v>142</v>
      </c>
      <c r="AC2043" t="s">
        <v>39</v>
      </c>
      <c r="AD2043" t="s">
        <v>144</v>
      </c>
      <c r="AE2043" t="str">
        <f t="shared" si="641"/>
        <v>11</v>
      </c>
      <c r="AF2043" t="s">
        <v>40</v>
      </c>
    </row>
    <row r="2044" spans="1:32" x14ac:dyDescent="0.25">
      <c r="A2044">
        <v>5</v>
      </c>
      <c r="B2044">
        <v>420</v>
      </c>
      <c r="C2044" t="str">
        <f t="shared" si="630"/>
        <v>00</v>
      </c>
      <c r="D2044">
        <v>2155</v>
      </c>
      <c r="E2044" t="str">
        <f>"04"</f>
        <v>04</v>
      </c>
      <c r="F2044" t="str">
        <f t="shared" si="637"/>
        <v>000</v>
      </c>
      <c r="G2044">
        <v>5</v>
      </c>
      <c r="H2044" t="str">
        <f t="shared" si="631"/>
        <v>00</v>
      </c>
      <c r="I2044" t="str">
        <f t="shared" si="619"/>
        <v>0</v>
      </c>
      <c r="J2044" t="str">
        <f t="shared" si="639"/>
        <v>00</v>
      </c>
      <c r="K2044">
        <v>20141105</v>
      </c>
      <c r="L2044" t="str">
        <f t="shared" si="638"/>
        <v>TRS09B</v>
      </c>
      <c r="M2044" t="str">
        <f t="shared" si="636"/>
        <v>00355</v>
      </c>
      <c r="N2044" t="s">
        <v>295</v>
      </c>
      <c r="O2044" s="1">
        <v>1059.78</v>
      </c>
      <c r="Q2044" t="s">
        <v>33</v>
      </c>
      <c r="R2044" t="s">
        <v>34</v>
      </c>
      <c r="S2044" t="s">
        <v>35</v>
      </c>
      <c r="T2044" t="s">
        <v>35</v>
      </c>
      <c r="U2044" t="s">
        <v>34</v>
      </c>
      <c r="V2044" t="str">
        <f>""</f>
        <v/>
      </c>
      <c r="W2044">
        <v>20141105</v>
      </c>
      <c r="X2044" t="s">
        <v>1000</v>
      </c>
      <c r="Y2044" t="s">
        <v>988</v>
      </c>
      <c r="Z2044" t="s">
        <v>988</v>
      </c>
      <c r="AA2044">
        <v>0</v>
      </c>
      <c r="AB2044" t="s">
        <v>142</v>
      </c>
      <c r="AC2044" t="s">
        <v>39</v>
      </c>
      <c r="AD2044" t="s">
        <v>144</v>
      </c>
      <c r="AE2044" t="str">
        <f t="shared" si="641"/>
        <v>11</v>
      </c>
      <c r="AF2044" t="s">
        <v>40</v>
      </c>
    </row>
    <row r="2045" spans="1:32" x14ac:dyDescent="0.25">
      <c r="A2045">
        <v>5</v>
      </c>
      <c r="B2045">
        <v>420</v>
      </c>
      <c r="C2045" t="str">
        <f t="shared" si="630"/>
        <v>00</v>
      </c>
      <c r="D2045">
        <v>2155</v>
      </c>
      <c r="E2045" t="str">
        <f>"05"</f>
        <v>05</v>
      </c>
      <c r="F2045" t="str">
        <f t="shared" si="637"/>
        <v>000</v>
      </c>
      <c r="G2045">
        <v>5</v>
      </c>
      <c r="H2045" t="str">
        <f t="shared" si="631"/>
        <v>00</v>
      </c>
      <c r="I2045" t="str">
        <f t="shared" si="619"/>
        <v>0</v>
      </c>
      <c r="J2045" t="str">
        <f t="shared" si="639"/>
        <v>00</v>
      </c>
      <c r="K2045">
        <v>20141105</v>
      </c>
      <c r="L2045" t="str">
        <f t="shared" si="638"/>
        <v>TRS09B</v>
      </c>
      <c r="M2045" t="str">
        <f t="shared" si="636"/>
        <v>00355</v>
      </c>
      <c r="N2045" t="s">
        <v>295</v>
      </c>
      <c r="O2045" s="1">
        <v>2627.25</v>
      </c>
      <c r="Q2045" t="s">
        <v>33</v>
      </c>
      <c r="R2045" t="s">
        <v>34</v>
      </c>
      <c r="S2045" t="s">
        <v>35</v>
      </c>
      <c r="T2045" t="s">
        <v>35</v>
      </c>
      <c r="U2045" t="s">
        <v>34</v>
      </c>
      <c r="V2045" t="str">
        <f>""</f>
        <v/>
      </c>
      <c r="W2045">
        <v>20141105</v>
      </c>
      <c r="X2045" t="s">
        <v>1001</v>
      </c>
      <c r="Y2045" t="s">
        <v>988</v>
      </c>
      <c r="Z2045" t="s">
        <v>988</v>
      </c>
      <c r="AA2045">
        <v>0</v>
      </c>
      <c r="AB2045" t="s">
        <v>142</v>
      </c>
      <c r="AC2045" t="s">
        <v>39</v>
      </c>
      <c r="AD2045" t="s">
        <v>144</v>
      </c>
      <c r="AE2045" t="str">
        <f t="shared" si="641"/>
        <v>11</v>
      </c>
      <c r="AF2045" t="s">
        <v>40</v>
      </c>
    </row>
    <row r="2046" spans="1:32" x14ac:dyDescent="0.25">
      <c r="A2046">
        <v>5</v>
      </c>
      <c r="B2046">
        <v>420</v>
      </c>
      <c r="C2046" t="str">
        <f t="shared" ref="C2046:C2075" si="642">"00"</f>
        <v>00</v>
      </c>
      <c r="D2046">
        <v>2155</v>
      </c>
      <c r="E2046" t="str">
        <f>"06"</f>
        <v>06</v>
      </c>
      <c r="F2046" t="str">
        <f t="shared" si="637"/>
        <v>000</v>
      </c>
      <c r="G2046">
        <v>5</v>
      </c>
      <c r="H2046" t="str">
        <f t="shared" ref="H2046:H2075" si="643">"00"</f>
        <v>00</v>
      </c>
      <c r="I2046" t="str">
        <f t="shared" si="619"/>
        <v>0</v>
      </c>
      <c r="J2046" t="str">
        <f t="shared" si="639"/>
        <v>00</v>
      </c>
      <c r="K2046">
        <v>20141105</v>
      </c>
      <c r="L2046" t="str">
        <f t="shared" si="638"/>
        <v>TRS09B</v>
      </c>
      <c r="M2046" t="str">
        <f t="shared" si="636"/>
        <v>00355</v>
      </c>
      <c r="N2046" t="s">
        <v>295</v>
      </c>
      <c r="O2046">
        <v>300.76</v>
      </c>
      <c r="Q2046" t="s">
        <v>33</v>
      </c>
      <c r="R2046" t="s">
        <v>34</v>
      </c>
      <c r="S2046" t="s">
        <v>35</v>
      </c>
      <c r="T2046" t="s">
        <v>35</v>
      </c>
      <c r="U2046" t="s">
        <v>34</v>
      </c>
      <c r="V2046" t="str">
        <f>""</f>
        <v/>
      </c>
      <c r="W2046">
        <v>20141105</v>
      </c>
      <c r="X2046" t="s">
        <v>1002</v>
      </c>
      <c r="Y2046" t="s">
        <v>988</v>
      </c>
      <c r="Z2046" t="s">
        <v>988</v>
      </c>
      <c r="AA2046">
        <v>0</v>
      </c>
      <c r="AB2046" t="s">
        <v>142</v>
      </c>
      <c r="AC2046" t="s">
        <v>39</v>
      </c>
      <c r="AD2046" t="s">
        <v>144</v>
      </c>
      <c r="AE2046" t="str">
        <f t="shared" si="641"/>
        <v>11</v>
      </c>
      <c r="AF2046" t="s">
        <v>40</v>
      </c>
    </row>
    <row r="2047" spans="1:32" x14ac:dyDescent="0.25">
      <c r="A2047">
        <v>5</v>
      </c>
      <c r="B2047">
        <v>420</v>
      </c>
      <c r="C2047" t="str">
        <f t="shared" si="642"/>
        <v>00</v>
      </c>
      <c r="D2047">
        <v>2155</v>
      </c>
      <c r="E2047" t="str">
        <f>"08"</f>
        <v>08</v>
      </c>
      <c r="F2047" t="str">
        <f t="shared" si="637"/>
        <v>000</v>
      </c>
      <c r="G2047">
        <v>5</v>
      </c>
      <c r="H2047" t="str">
        <f t="shared" si="643"/>
        <v>00</v>
      </c>
      <c r="I2047" t="str">
        <f t="shared" si="619"/>
        <v>0</v>
      </c>
      <c r="J2047" t="str">
        <f t="shared" si="639"/>
        <v>00</v>
      </c>
      <c r="K2047">
        <v>20141105</v>
      </c>
      <c r="L2047" t="str">
        <f t="shared" si="638"/>
        <v>TRS09B</v>
      </c>
      <c r="M2047" t="str">
        <f t="shared" si="636"/>
        <v>00355</v>
      </c>
      <c r="N2047" t="s">
        <v>295</v>
      </c>
      <c r="O2047" s="1">
        <v>2865.89</v>
      </c>
      <c r="Q2047" t="s">
        <v>33</v>
      </c>
      <c r="R2047" t="s">
        <v>34</v>
      </c>
      <c r="S2047" t="s">
        <v>35</v>
      </c>
      <c r="T2047" t="s">
        <v>35</v>
      </c>
      <c r="U2047" t="s">
        <v>34</v>
      </c>
      <c r="V2047" t="str">
        <f>""</f>
        <v/>
      </c>
      <c r="W2047">
        <v>20141105</v>
      </c>
      <c r="X2047" t="s">
        <v>1003</v>
      </c>
      <c r="Y2047" t="s">
        <v>988</v>
      </c>
      <c r="Z2047" t="s">
        <v>988</v>
      </c>
      <c r="AA2047">
        <v>0</v>
      </c>
      <c r="AB2047" t="s">
        <v>142</v>
      </c>
      <c r="AC2047" t="s">
        <v>39</v>
      </c>
      <c r="AD2047" t="s">
        <v>144</v>
      </c>
      <c r="AE2047" t="str">
        <f t="shared" si="641"/>
        <v>11</v>
      </c>
      <c r="AF2047" t="s">
        <v>40</v>
      </c>
    </row>
    <row r="2048" spans="1:32" x14ac:dyDescent="0.25">
      <c r="A2048">
        <v>5</v>
      </c>
      <c r="B2048">
        <v>420</v>
      </c>
      <c r="C2048" t="str">
        <f t="shared" si="642"/>
        <v>00</v>
      </c>
      <c r="D2048">
        <v>2155</v>
      </c>
      <c r="E2048" t="str">
        <f>"08"</f>
        <v>08</v>
      </c>
      <c r="F2048" t="str">
        <f t="shared" si="637"/>
        <v>000</v>
      </c>
      <c r="G2048">
        <v>5</v>
      </c>
      <c r="H2048" t="str">
        <f t="shared" si="643"/>
        <v>00</v>
      </c>
      <c r="I2048" t="str">
        <f t="shared" si="619"/>
        <v>0</v>
      </c>
      <c r="J2048" t="str">
        <f t="shared" si="639"/>
        <v>00</v>
      </c>
      <c r="K2048">
        <v>20141002</v>
      </c>
      <c r="L2048" t="str">
        <f>"TRS09C"</f>
        <v>TRS09C</v>
      </c>
      <c r="M2048" t="str">
        <f t="shared" si="636"/>
        <v>00355</v>
      </c>
      <c r="N2048" t="s">
        <v>295</v>
      </c>
      <c r="O2048" s="1">
        <v>2804.37</v>
      </c>
      <c r="Q2048" t="s">
        <v>33</v>
      </c>
      <c r="R2048" t="s">
        <v>34</v>
      </c>
      <c r="S2048" t="s">
        <v>35</v>
      </c>
      <c r="T2048" t="s">
        <v>35</v>
      </c>
      <c r="U2048" t="s">
        <v>34</v>
      </c>
      <c r="V2048" t="str">
        <f>""</f>
        <v/>
      </c>
      <c r="W2048">
        <v>20141002</v>
      </c>
      <c r="X2048" t="s">
        <v>1003</v>
      </c>
      <c r="Y2048" t="s">
        <v>987</v>
      </c>
      <c r="Z2048" t="s">
        <v>987</v>
      </c>
      <c r="AA2048">
        <v>0</v>
      </c>
      <c r="AB2048" t="s">
        <v>142</v>
      </c>
      <c r="AC2048" t="s">
        <v>39</v>
      </c>
      <c r="AD2048" t="s">
        <v>144</v>
      </c>
      <c r="AE2048" t="str">
        <f>"10"</f>
        <v>10</v>
      </c>
      <c r="AF2048" t="s">
        <v>40</v>
      </c>
    </row>
    <row r="2049" spans="1:32" x14ac:dyDescent="0.25">
      <c r="A2049">
        <v>5</v>
      </c>
      <c r="B2049">
        <v>420</v>
      </c>
      <c r="C2049" t="str">
        <f t="shared" si="642"/>
        <v>00</v>
      </c>
      <c r="D2049">
        <v>2153</v>
      </c>
      <c r="E2049" t="str">
        <f t="shared" ref="E2049:E2055" si="644">"00"</f>
        <v>00</v>
      </c>
      <c r="F2049" t="str">
        <f>"010"</f>
        <v>010</v>
      </c>
      <c r="G2049">
        <v>5</v>
      </c>
      <c r="H2049" t="str">
        <f t="shared" si="643"/>
        <v>00</v>
      </c>
      <c r="I2049" t="str">
        <f t="shared" si="619"/>
        <v>0</v>
      </c>
      <c r="J2049" t="str">
        <f t="shared" si="639"/>
        <v>00</v>
      </c>
      <c r="K2049">
        <v>20141016</v>
      </c>
      <c r="L2049" t="str">
        <f>"TRS10A"</f>
        <v>TRS10A</v>
      </c>
      <c r="M2049" t="str">
        <f t="shared" si="636"/>
        <v>00355</v>
      </c>
      <c r="N2049" t="s">
        <v>295</v>
      </c>
      <c r="O2049" s="1">
        <v>2600</v>
      </c>
      <c r="Q2049" t="s">
        <v>33</v>
      </c>
      <c r="R2049" t="s">
        <v>34</v>
      </c>
      <c r="S2049" t="s">
        <v>35</v>
      </c>
      <c r="T2049" t="s">
        <v>35</v>
      </c>
      <c r="U2049" t="s">
        <v>34</v>
      </c>
      <c r="V2049" t="str">
        <f>""</f>
        <v/>
      </c>
      <c r="W2049">
        <v>20141016</v>
      </c>
      <c r="X2049" t="s">
        <v>990</v>
      </c>
      <c r="Y2049" t="s">
        <v>1011</v>
      </c>
      <c r="Z2049" t="s">
        <v>1011</v>
      </c>
      <c r="AA2049">
        <v>0</v>
      </c>
      <c r="AB2049" t="s">
        <v>142</v>
      </c>
      <c r="AC2049" t="s">
        <v>992</v>
      </c>
      <c r="AD2049" t="s">
        <v>144</v>
      </c>
      <c r="AE2049" t="str">
        <f>"10"</f>
        <v>10</v>
      </c>
      <c r="AF2049" t="s">
        <v>40</v>
      </c>
    </row>
    <row r="2050" spans="1:32" x14ac:dyDescent="0.25">
      <c r="A2050">
        <v>5</v>
      </c>
      <c r="B2050">
        <v>420</v>
      </c>
      <c r="C2050" t="str">
        <f t="shared" si="642"/>
        <v>00</v>
      </c>
      <c r="D2050">
        <v>2153</v>
      </c>
      <c r="E2050" t="str">
        <f t="shared" si="644"/>
        <v>00</v>
      </c>
      <c r="F2050" t="str">
        <f>"011"</f>
        <v>011</v>
      </c>
      <c r="G2050">
        <v>5</v>
      </c>
      <c r="H2050" t="str">
        <f t="shared" si="643"/>
        <v>00</v>
      </c>
      <c r="I2050" t="str">
        <f t="shared" ref="I2050:I2075" si="645">"0"</f>
        <v>0</v>
      </c>
      <c r="J2050" t="str">
        <f t="shared" si="639"/>
        <v>00</v>
      </c>
      <c r="K2050">
        <v>20141016</v>
      </c>
      <c r="L2050" t="str">
        <f>"TRS10A"</f>
        <v>TRS10A</v>
      </c>
      <c r="M2050" t="str">
        <f t="shared" si="636"/>
        <v>00355</v>
      </c>
      <c r="N2050" t="s">
        <v>295</v>
      </c>
      <c r="O2050" s="1">
        <v>7527</v>
      </c>
      <c r="Q2050" t="s">
        <v>33</v>
      </c>
      <c r="R2050" t="s">
        <v>34</v>
      </c>
      <c r="S2050" t="s">
        <v>35</v>
      </c>
      <c r="T2050" t="s">
        <v>35</v>
      </c>
      <c r="U2050" t="s">
        <v>34</v>
      </c>
      <c r="V2050" t="str">
        <f>""</f>
        <v/>
      </c>
      <c r="W2050">
        <v>20141016</v>
      </c>
      <c r="X2050" t="s">
        <v>993</v>
      </c>
      <c r="Y2050" t="s">
        <v>1011</v>
      </c>
      <c r="Z2050" t="s">
        <v>1011</v>
      </c>
      <c r="AA2050">
        <v>0</v>
      </c>
      <c r="AB2050" t="s">
        <v>142</v>
      </c>
      <c r="AC2050" t="s">
        <v>994</v>
      </c>
      <c r="AD2050" t="s">
        <v>144</v>
      </c>
      <c r="AE2050" t="str">
        <f>"10"</f>
        <v>10</v>
      </c>
      <c r="AF2050" t="s">
        <v>40</v>
      </c>
    </row>
    <row r="2051" spans="1:32" x14ac:dyDescent="0.25">
      <c r="A2051">
        <v>5</v>
      </c>
      <c r="B2051">
        <v>420</v>
      </c>
      <c r="C2051" t="str">
        <f t="shared" si="642"/>
        <v>00</v>
      </c>
      <c r="D2051">
        <v>2153</v>
      </c>
      <c r="E2051" t="str">
        <f t="shared" si="644"/>
        <v>00</v>
      </c>
      <c r="F2051" t="str">
        <f>"012"</f>
        <v>012</v>
      </c>
      <c r="G2051">
        <v>5</v>
      </c>
      <c r="H2051" t="str">
        <f t="shared" si="643"/>
        <v>00</v>
      </c>
      <c r="I2051" t="str">
        <f t="shared" si="645"/>
        <v>0</v>
      </c>
      <c r="J2051" t="str">
        <f t="shared" si="639"/>
        <v>00</v>
      </c>
      <c r="K2051">
        <v>20141016</v>
      </c>
      <c r="L2051" t="str">
        <f>"TRS10A"</f>
        <v>TRS10A</v>
      </c>
      <c r="M2051" t="str">
        <f t="shared" si="636"/>
        <v>00355</v>
      </c>
      <c r="N2051" t="s">
        <v>295</v>
      </c>
      <c r="O2051" s="1">
        <v>9263</v>
      </c>
      <c r="Q2051" t="s">
        <v>33</v>
      </c>
      <c r="R2051" t="s">
        <v>34</v>
      </c>
      <c r="S2051" t="s">
        <v>35</v>
      </c>
      <c r="T2051" t="s">
        <v>35</v>
      </c>
      <c r="U2051" t="s">
        <v>34</v>
      </c>
      <c r="V2051" t="str">
        <f>""</f>
        <v/>
      </c>
      <c r="W2051">
        <v>20141016</v>
      </c>
      <c r="X2051" t="s">
        <v>995</v>
      </c>
      <c r="Y2051" t="s">
        <v>1011</v>
      </c>
      <c r="Z2051" t="s">
        <v>1011</v>
      </c>
      <c r="AA2051">
        <v>0</v>
      </c>
      <c r="AB2051" t="s">
        <v>142</v>
      </c>
      <c r="AC2051" t="s">
        <v>996</v>
      </c>
      <c r="AD2051" t="s">
        <v>144</v>
      </c>
      <c r="AE2051" t="str">
        <f>"10"</f>
        <v>10</v>
      </c>
      <c r="AF2051" t="s">
        <v>40</v>
      </c>
    </row>
    <row r="2052" spans="1:32" x14ac:dyDescent="0.25">
      <c r="A2052">
        <v>5</v>
      </c>
      <c r="B2052">
        <v>420</v>
      </c>
      <c r="C2052" t="str">
        <f t="shared" si="642"/>
        <v>00</v>
      </c>
      <c r="D2052">
        <v>2153</v>
      </c>
      <c r="E2052" t="str">
        <f t="shared" si="644"/>
        <v>00</v>
      </c>
      <c r="F2052" t="str">
        <f>"010"</f>
        <v>010</v>
      </c>
      <c r="G2052">
        <v>5</v>
      </c>
      <c r="H2052" t="str">
        <f t="shared" si="643"/>
        <v>00</v>
      </c>
      <c r="I2052" t="str">
        <f t="shared" si="645"/>
        <v>0</v>
      </c>
      <c r="J2052" t="str">
        <f t="shared" si="639"/>
        <v>00</v>
      </c>
      <c r="K2052">
        <v>20141117</v>
      </c>
      <c r="L2052" t="str">
        <f>"TRS11A"</f>
        <v>TRS11A</v>
      </c>
      <c r="M2052" t="str">
        <f t="shared" si="636"/>
        <v>00355</v>
      </c>
      <c r="N2052" t="s">
        <v>295</v>
      </c>
      <c r="O2052" s="1">
        <v>2275</v>
      </c>
      <c r="Q2052" t="s">
        <v>33</v>
      </c>
      <c r="R2052" t="s">
        <v>34</v>
      </c>
      <c r="S2052" t="s">
        <v>35</v>
      </c>
      <c r="T2052" t="s">
        <v>35</v>
      </c>
      <c r="U2052" t="s">
        <v>34</v>
      </c>
      <c r="V2052" t="str">
        <f>""</f>
        <v/>
      </c>
      <c r="W2052">
        <v>20141117</v>
      </c>
      <c r="X2052" t="s">
        <v>990</v>
      </c>
      <c r="Y2052" t="s">
        <v>1012</v>
      </c>
      <c r="Z2052" t="s">
        <v>1012</v>
      </c>
      <c r="AA2052">
        <v>0</v>
      </c>
      <c r="AB2052" t="s">
        <v>142</v>
      </c>
      <c r="AC2052" t="s">
        <v>992</v>
      </c>
      <c r="AD2052" t="s">
        <v>144</v>
      </c>
      <c r="AE2052" t="str">
        <f>"11"</f>
        <v>11</v>
      </c>
      <c r="AF2052" t="s">
        <v>40</v>
      </c>
    </row>
    <row r="2053" spans="1:32" x14ac:dyDescent="0.25">
      <c r="A2053">
        <v>5</v>
      </c>
      <c r="B2053">
        <v>420</v>
      </c>
      <c r="C2053" t="str">
        <f t="shared" si="642"/>
        <v>00</v>
      </c>
      <c r="D2053">
        <v>2153</v>
      </c>
      <c r="E2053" t="str">
        <f t="shared" si="644"/>
        <v>00</v>
      </c>
      <c r="F2053" t="str">
        <f>"011"</f>
        <v>011</v>
      </c>
      <c r="G2053">
        <v>5</v>
      </c>
      <c r="H2053" t="str">
        <f t="shared" si="643"/>
        <v>00</v>
      </c>
      <c r="I2053" t="str">
        <f t="shared" si="645"/>
        <v>0</v>
      </c>
      <c r="J2053" t="str">
        <f t="shared" si="639"/>
        <v>00</v>
      </c>
      <c r="K2053">
        <v>20141117</v>
      </c>
      <c r="L2053" t="str">
        <f>"TRS11A"</f>
        <v>TRS11A</v>
      </c>
      <c r="M2053" t="str">
        <f t="shared" si="636"/>
        <v>00355</v>
      </c>
      <c r="N2053" t="s">
        <v>295</v>
      </c>
      <c r="O2053" s="1">
        <v>7246</v>
      </c>
      <c r="Q2053" t="s">
        <v>33</v>
      </c>
      <c r="R2053" t="s">
        <v>34</v>
      </c>
      <c r="S2053" t="s">
        <v>35</v>
      </c>
      <c r="T2053" t="s">
        <v>35</v>
      </c>
      <c r="U2053" t="s">
        <v>34</v>
      </c>
      <c r="V2053" t="str">
        <f>""</f>
        <v/>
      </c>
      <c r="W2053">
        <v>20141117</v>
      </c>
      <c r="X2053" t="s">
        <v>993</v>
      </c>
      <c r="Y2053" t="s">
        <v>1012</v>
      </c>
      <c r="Z2053" t="s">
        <v>1012</v>
      </c>
      <c r="AA2053">
        <v>0</v>
      </c>
      <c r="AB2053" t="s">
        <v>142</v>
      </c>
      <c r="AC2053" t="s">
        <v>994</v>
      </c>
      <c r="AD2053" t="s">
        <v>144</v>
      </c>
      <c r="AE2053" t="str">
        <f>"11"</f>
        <v>11</v>
      </c>
      <c r="AF2053" t="s">
        <v>40</v>
      </c>
    </row>
    <row r="2054" spans="1:32" x14ac:dyDescent="0.25">
      <c r="A2054">
        <v>5</v>
      </c>
      <c r="B2054">
        <v>420</v>
      </c>
      <c r="C2054" t="str">
        <f t="shared" si="642"/>
        <v>00</v>
      </c>
      <c r="D2054">
        <v>2153</v>
      </c>
      <c r="E2054" t="str">
        <f t="shared" si="644"/>
        <v>00</v>
      </c>
      <c r="F2054" t="str">
        <f>"012"</f>
        <v>012</v>
      </c>
      <c r="G2054">
        <v>5</v>
      </c>
      <c r="H2054" t="str">
        <f t="shared" si="643"/>
        <v>00</v>
      </c>
      <c r="I2054" t="str">
        <f t="shared" si="645"/>
        <v>0</v>
      </c>
      <c r="J2054" t="str">
        <f t="shared" si="639"/>
        <v>00</v>
      </c>
      <c r="K2054">
        <v>20141117</v>
      </c>
      <c r="L2054" t="str">
        <f>"TRS11A"</f>
        <v>TRS11A</v>
      </c>
      <c r="M2054" t="str">
        <f t="shared" si="636"/>
        <v>00355</v>
      </c>
      <c r="N2054" t="s">
        <v>295</v>
      </c>
      <c r="O2054" s="1">
        <v>7278</v>
      </c>
      <c r="Q2054" t="s">
        <v>33</v>
      </c>
      <c r="R2054" t="s">
        <v>34</v>
      </c>
      <c r="S2054" t="s">
        <v>35</v>
      </c>
      <c r="T2054" t="s">
        <v>35</v>
      </c>
      <c r="U2054" t="s">
        <v>34</v>
      </c>
      <c r="V2054" t="str">
        <f>""</f>
        <v/>
      </c>
      <c r="W2054">
        <v>20141117</v>
      </c>
      <c r="X2054" t="s">
        <v>995</v>
      </c>
      <c r="Y2054" t="s">
        <v>1012</v>
      </c>
      <c r="Z2054" t="s">
        <v>1012</v>
      </c>
      <c r="AA2054">
        <v>0</v>
      </c>
      <c r="AB2054" t="s">
        <v>142</v>
      </c>
      <c r="AC2054" t="s">
        <v>996</v>
      </c>
      <c r="AD2054" t="s">
        <v>144</v>
      </c>
      <c r="AE2054" t="str">
        <f>"11"</f>
        <v>11</v>
      </c>
      <c r="AF2054" t="s">
        <v>40</v>
      </c>
    </row>
    <row r="2055" spans="1:32" x14ac:dyDescent="0.25">
      <c r="A2055">
        <v>5</v>
      </c>
      <c r="B2055">
        <v>420</v>
      </c>
      <c r="C2055" t="str">
        <f t="shared" si="642"/>
        <v>00</v>
      </c>
      <c r="D2055">
        <v>2155</v>
      </c>
      <c r="E2055" t="str">
        <f t="shared" si="644"/>
        <v>00</v>
      </c>
      <c r="F2055" t="str">
        <f t="shared" ref="F2055:F2068" si="646">"000"</f>
        <v>000</v>
      </c>
      <c r="G2055">
        <v>5</v>
      </c>
      <c r="H2055" t="str">
        <f t="shared" si="643"/>
        <v>00</v>
      </c>
      <c r="I2055" t="str">
        <f t="shared" si="645"/>
        <v>0</v>
      </c>
      <c r="J2055" t="str">
        <f t="shared" si="639"/>
        <v>00</v>
      </c>
      <c r="K2055">
        <v>20141203</v>
      </c>
      <c r="L2055" t="str">
        <f t="shared" ref="L2055:L2061" si="647">"TRS11B"</f>
        <v>TRS11B</v>
      </c>
      <c r="M2055" t="str">
        <f t="shared" si="636"/>
        <v>00355</v>
      </c>
      <c r="N2055" t="s">
        <v>295</v>
      </c>
      <c r="O2055" s="1">
        <v>15210.93</v>
      </c>
      <c r="Q2055" t="s">
        <v>33</v>
      </c>
      <c r="R2055" t="s">
        <v>34</v>
      </c>
      <c r="S2055" t="s">
        <v>35</v>
      </c>
      <c r="T2055" t="s">
        <v>35</v>
      </c>
      <c r="U2055" t="s">
        <v>34</v>
      </c>
      <c r="V2055" t="str">
        <f>""</f>
        <v/>
      </c>
      <c r="W2055">
        <v>20141203</v>
      </c>
      <c r="X2055" t="s">
        <v>997</v>
      </c>
      <c r="Y2055" t="s">
        <v>989</v>
      </c>
      <c r="Z2055" t="s">
        <v>989</v>
      </c>
      <c r="AA2055">
        <v>0</v>
      </c>
      <c r="AB2055" t="s">
        <v>142</v>
      </c>
      <c r="AC2055" t="s">
        <v>39</v>
      </c>
      <c r="AD2055" t="s">
        <v>144</v>
      </c>
      <c r="AE2055" t="str">
        <f t="shared" ref="AE2055:AE2071" si="648">"12"</f>
        <v>12</v>
      </c>
      <c r="AF2055" t="s">
        <v>40</v>
      </c>
    </row>
    <row r="2056" spans="1:32" x14ac:dyDescent="0.25">
      <c r="A2056">
        <v>5</v>
      </c>
      <c r="B2056">
        <v>420</v>
      </c>
      <c r="C2056" t="str">
        <f t="shared" si="642"/>
        <v>00</v>
      </c>
      <c r="D2056">
        <v>2155</v>
      </c>
      <c r="E2056" t="str">
        <f>"01"</f>
        <v>01</v>
      </c>
      <c r="F2056" t="str">
        <f t="shared" si="646"/>
        <v>000</v>
      </c>
      <c r="G2056">
        <v>5</v>
      </c>
      <c r="H2056" t="str">
        <f t="shared" si="643"/>
        <v>00</v>
      </c>
      <c r="I2056" t="str">
        <f t="shared" si="645"/>
        <v>0</v>
      </c>
      <c r="J2056" t="str">
        <f t="shared" si="639"/>
        <v>00</v>
      </c>
      <c r="K2056">
        <v>20141203</v>
      </c>
      <c r="L2056" t="str">
        <f t="shared" si="647"/>
        <v>TRS11B</v>
      </c>
      <c r="M2056" t="str">
        <f t="shared" si="636"/>
        <v>00355</v>
      </c>
      <c r="N2056" t="s">
        <v>295</v>
      </c>
      <c r="O2056">
        <v>847.73</v>
      </c>
      <c r="Q2056" t="s">
        <v>33</v>
      </c>
      <c r="R2056" t="s">
        <v>34</v>
      </c>
      <c r="S2056" t="s">
        <v>35</v>
      </c>
      <c r="T2056" t="s">
        <v>35</v>
      </c>
      <c r="U2056" t="s">
        <v>34</v>
      </c>
      <c r="V2056" t="str">
        <f>""</f>
        <v/>
      </c>
      <c r="W2056">
        <v>20141203</v>
      </c>
      <c r="X2056" t="s">
        <v>998</v>
      </c>
      <c r="Y2056" t="s">
        <v>989</v>
      </c>
      <c r="Z2056" t="s">
        <v>989</v>
      </c>
      <c r="AA2056">
        <v>0</v>
      </c>
      <c r="AB2056" t="s">
        <v>142</v>
      </c>
      <c r="AC2056" t="s">
        <v>39</v>
      </c>
      <c r="AD2056" t="s">
        <v>144</v>
      </c>
      <c r="AE2056" t="str">
        <f t="shared" si="648"/>
        <v>12</v>
      </c>
      <c r="AF2056" t="s">
        <v>40</v>
      </c>
    </row>
    <row r="2057" spans="1:32" x14ac:dyDescent="0.25">
      <c r="A2057">
        <v>5</v>
      </c>
      <c r="B2057">
        <v>420</v>
      </c>
      <c r="C2057" t="str">
        <f t="shared" si="642"/>
        <v>00</v>
      </c>
      <c r="D2057">
        <v>2155</v>
      </c>
      <c r="E2057" t="str">
        <f>"03"</f>
        <v>03</v>
      </c>
      <c r="F2057" t="str">
        <f t="shared" si="646"/>
        <v>000</v>
      </c>
      <c r="G2057">
        <v>5</v>
      </c>
      <c r="H2057" t="str">
        <f t="shared" si="643"/>
        <v>00</v>
      </c>
      <c r="I2057" t="str">
        <f t="shared" si="645"/>
        <v>0</v>
      </c>
      <c r="J2057" t="str">
        <f t="shared" si="639"/>
        <v>00</v>
      </c>
      <c r="K2057">
        <v>20141203</v>
      </c>
      <c r="L2057" t="str">
        <f t="shared" si="647"/>
        <v>TRS11B</v>
      </c>
      <c r="M2057" t="str">
        <f t="shared" si="636"/>
        <v>00355</v>
      </c>
      <c r="N2057" t="s">
        <v>295</v>
      </c>
      <c r="O2057">
        <v>124.68</v>
      </c>
      <c r="Q2057" t="s">
        <v>33</v>
      </c>
      <c r="R2057" t="s">
        <v>34</v>
      </c>
      <c r="S2057" t="s">
        <v>35</v>
      </c>
      <c r="T2057" t="s">
        <v>35</v>
      </c>
      <c r="U2057" t="s">
        <v>34</v>
      </c>
      <c r="V2057" t="str">
        <f>""</f>
        <v/>
      </c>
      <c r="W2057">
        <v>20141203</v>
      </c>
      <c r="X2057" t="s">
        <v>999</v>
      </c>
      <c r="Y2057" t="s">
        <v>989</v>
      </c>
      <c r="Z2057" t="s">
        <v>989</v>
      </c>
      <c r="AA2057">
        <v>0</v>
      </c>
      <c r="AB2057" t="s">
        <v>142</v>
      </c>
      <c r="AC2057" t="s">
        <v>39</v>
      </c>
      <c r="AD2057" t="s">
        <v>144</v>
      </c>
      <c r="AE2057" t="str">
        <f t="shared" si="648"/>
        <v>12</v>
      </c>
      <c r="AF2057" t="s">
        <v>40</v>
      </c>
    </row>
    <row r="2058" spans="1:32" x14ac:dyDescent="0.25">
      <c r="A2058">
        <v>5</v>
      </c>
      <c r="B2058">
        <v>420</v>
      </c>
      <c r="C2058" t="str">
        <f t="shared" si="642"/>
        <v>00</v>
      </c>
      <c r="D2058">
        <v>2155</v>
      </c>
      <c r="E2058" t="str">
        <f>"04"</f>
        <v>04</v>
      </c>
      <c r="F2058" t="str">
        <f t="shared" si="646"/>
        <v>000</v>
      </c>
      <c r="G2058">
        <v>5</v>
      </c>
      <c r="H2058" t="str">
        <f t="shared" si="643"/>
        <v>00</v>
      </c>
      <c r="I2058" t="str">
        <f t="shared" si="645"/>
        <v>0</v>
      </c>
      <c r="J2058" t="str">
        <f t="shared" si="639"/>
        <v>00</v>
      </c>
      <c r="K2058">
        <v>20141203</v>
      </c>
      <c r="L2058" t="str">
        <f t="shared" si="647"/>
        <v>TRS11B</v>
      </c>
      <c r="M2058" t="str">
        <f t="shared" si="636"/>
        <v>00355</v>
      </c>
      <c r="N2058" t="s">
        <v>295</v>
      </c>
      <c r="O2058" s="1">
        <v>1138.28</v>
      </c>
      <c r="Q2058" t="s">
        <v>33</v>
      </c>
      <c r="R2058" t="s">
        <v>34</v>
      </c>
      <c r="S2058" t="s">
        <v>35</v>
      </c>
      <c r="T2058" t="s">
        <v>35</v>
      </c>
      <c r="U2058" t="s">
        <v>34</v>
      </c>
      <c r="V2058" t="str">
        <f>""</f>
        <v/>
      </c>
      <c r="W2058">
        <v>20141203</v>
      </c>
      <c r="X2058" t="s">
        <v>1000</v>
      </c>
      <c r="Y2058" t="s">
        <v>989</v>
      </c>
      <c r="Z2058" t="s">
        <v>989</v>
      </c>
      <c r="AA2058">
        <v>0</v>
      </c>
      <c r="AB2058" t="s">
        <v>142</v>
      </c>
      <c r="AC2058" t="s">
        <v>39</v>
      </c>
      <c r="AD2058" t="s">
        <v>144</v>
      </c>
      <c r="AE2058" t="str">
        <f t="shared" si="648"/>
        <v>12</v>
      </c>
      <c r="AF2058" t="s">
        <v>40</v>
      </c>
    </row>
    <row r="2059" spans="1:32" x14ac:dyDescent="0.25">
      <c r="A2059">
        <v>5</v>
      </c>
      <c r="B2059">
        <v>420</v>
      </c>
      <c r="C2059" t="str">
        <f t="shared" si="642"/>
        <v>00</v>
      </c>
      <c r="D2059">
        <v>2155</v>
      </c>
      <c r="E2059" t="str">
        <f>"05"</f>
        <v>05</v>
      </c>
      <c r="F2059" t="str">
        <f t="shared" si="646"/>
        <v>000</v>
      </c>
      <c r="G2059">
        <v>5</v>
      </c>
      <c r="H2059" t="str">
        <f t="shared" si="643"/>
        <v>00</v>
      </c>
      <c r="I2059" t="str">
        <f t="shared" si="645"/>
        <v>0</v>
      </c>
      <c r="J2059" t="str">
        <f t="shared" si="639"/>
        <v>00</v>
      </c>
      <c r="K2059">
        <v>20141203</v>
      </c>
      <c r="L2059" t="str">
        <f t="shared" si="647"/>
        <v>TRS11B</v>
      </c>
      <c r="M2059" t="str">
        <f t="shared" si="636"/>
        <v>00355</v>
      </c>
      <c r="N2059" t="s">
        <v>295</v>
      </c>
      <c r="O2059" s="1">
        <v>2949.17</v>
      </c>
      <c r="Q2059" t="s">
        <v>33</v>
      </c>
      <c r="R2059" t="s">
        <v>34</v>
      </c>
      <c r="S2059" t="s">
        <v>35</v>
      </c>
      <c r="T2059" t="s">
        <v>35</v>
      </c>
      <c r="U2059" t="s">
        <v>34</v>
      </c>
      <c r="V2059" t="str">
        <f>""</f>
        <v/>
      </c>
      <c r="W2059">
        <v>20141203</v>
      </c>
      <c r="X2059" t="s">
        <v>1001</v>
      </c>
      <c r="Y2059" t="s">
        <v>989</v>
      </c>
      <c r="Z2059" t="s">
        <v>989</v>
      </c>
      <c r="AA2059">
        <v>0</v>
      </c>
      <c r="AB2059" t="s">
        <v>142</v>
      </c>
      <c r="AC2059" t="s">
        <v>39</v>
      </c>
      <c r="AD2059" t="s">
        <v>144</v>
      </c>
      <c r="AE2059" t="str">
        <f t="shared" si="648"/>
        <v>12</v>
      </c>
      <c r="AF2059" t="s">
        <v>40</v>
      </c>
    </row>
    <row r="2060" spans="1:32" x14ac:dyDescent="0.25">
      <c r="A2060">
        <v>5</v>
      </c>
      <c r="B2060">
        <v>420</v>
      </c>
      <c r="C2060" t="str">
        <f t="shared" si="642"/>
        <v>00</v>
      </c>
      <c r="D2060">
        <v>2155</v>
      </c>
      <c r="E2060" t="str">
        <f>"06"</f>
        <v>06</v>
      </c>
      <c r="F2060" t="str">
        <f t="shared" si="646"/>
        <v>000</v>
      </c>
      <c r="G2060">
        <v>5</v>
      </c>
      <c r="H2060" t="str">
        <f t="shared" si="643"/>
        <v>00</v>
      </c>
      <c r="I2060" t="str">
        <f t="shared" si="645"/>
        <v>0</v>
      </c>
      <c r="J2060" t="str">
        <f t="shared" si="639"/>
        <v>00</v>
      </c>
      <c r="K2060">
        <v>20141203</v>
      </c>
      <c r="L2060" t="str">
        <f t="shared" si="647"/>
        <v>TRS11B</v>
      </c>
      <c r="M2060" t="str">
        <f t="shared" ref="M2060:M2071" si="649">"00355"</f>
        <v>00355</v>
      </c>
      <c r="N2060" t="s">
        <v>295</v>
      </c>
      <c r="O2060">
        <v>371.66</v>
      </c>
      <c r="Q2060" t="s">
        <v>33</v>
      </c>
      <c r="R2060" t="s">
        <v>34</v>
      </c>
      <c r="S2060" t="s">
        <v>35</v>
      </c>
      <c r="T2060" t="s">
        <v>35</v>
      </c>
      <c r="U2060" t="s">
        <v>34</v>
      </c>
      <c r="V2060" t="str">
        <f>""</f>
        <v/>
      </c>
      <c r="W2060">
        <v>20141203</v>
      </c>
      <c r="X2060" t="s">
        <v>1002</v>
      </c>
      <c r="Y2060" t="s">
        <v>989</v>
      </c>
      <c r="Z2060" t="s">
        <v>989</v>
      </c>
      <c r="AA2060">
        <v>0</v>
      </c>
      <c r="AB2060" t="s">
        <v>142</v>
      </c>
      <c r="AC2060" t="s">
        <v>39</v>
      </c>
      <c r="AD2060" t="s">
        <v>144</v>
      </c>
      <c r="AE2060" t="str">
        <f t="shared" si="648"/>
        <v>12</v>
      </c>
      <c r="AF2060" t="s">
        <v>40</v>
      </c>
    </row>
    <row r="2061" spans="1:32" x14ac:dyDescent="0.25">
      <c r="A2061">
        <v>5</v>
      </c>
      <c r="B2061">
        <v>420</v>
      </c>
      <c r="C2061" t="str">
        <f t="shared" si="642"/>
        <v>00</v>
      </c>
      <c r="D2061">
        <v>2155</v>
      </c>
      <c r="E2061" t="str">
        <f>"08"</f>
        <v>08</v>
      </c>
      <c r="F2061" t="str">
        <f t="shared" si="646"/>
        <v>000</v>
      </c>
      <c r="G2061">
        <v>5</v>
      </c>
      <c r="H2061" t="str">
        <f t="shared" si="643"/>
        <v>00</v>
      </c>
      <c r="I2061" t="str">
        <f t="shared" si="645"/>
        <v>0</v>
      </c>
      <c r="J2061" t="str">
        <f t="shared" si="639"/>
        <v>00</v>
      </c>
      <c r="K2061">
        <v>20141203</v>
      </c>
      <c r="L2061" t="str">
        <f t="shared" si="647"/>
        <v>TRS11B</v>
      </c>
      <c r="M2061" t="str">
        <f t="shared" si="649"/>
        <v>00355</v>
      </c>
      <c r="N2061" t="s">
        <v>295</v>
      </c>
      <c r="O2061" s="1">
        <v>3073.14</v>
      </c>
      <c r="Q2061" t="s">
        <v>33</v>
      </c>
      <c r="R2061" t="s">
        <v>34</v>
      </c>
      <c r="S2061" t="s">
        <v>35</v>
      </c>
      <c r="T2061" t="s">
        <v>35</v>
      </c>
      <c r="U2061" t="s">
        <v>34</v>
      </c>
      <c r="V2061" t="str">
        <f>""</f>
        <v/>
      </c>
      <c r="W2061">
        <v>20141203</v>
      </c>
      <c r="X2061" t="s">
        <v>1003</v>
      </c>
      <c r="Y2061" t="s">
        <v>989</v>
      </c>
      <c r="Z2061" t="s">
        <v>989</v>
      </c>
      <c r="AA2061">
        <v>0</v>
      </c>
      <c r="AB2061" t="s">
        <v>142</v>
      </c>
      <c r="AC2061" t="s">
        <v>39</v>
      </c>
      <c r="AD2061" t="s">
        <v>144</v>
      </c>
      <c r="AE2061" t="str">
        <f t="shared" si="648"/>
        <v>12</v>
      </c>
      <c r="AF2061" t="s">
        <v>40</v>
      </c>
    </row>
    <row r="2062" spans="1:32" x14ac:dyDescent="0.25">
      <c r="A2062">
        <v>5</v>
      </c>
      <c r="B2062">
        <v>420</v>
      </c>
      <c r="C2062" t="str">
        <f t="shared" si="642"/>
        <v>00</v>
      </c>
      <c r="D2062">
        <v>2155</v>
      </c>
      <c r="E2062" t="str">
        <f>"00"</f>
        <v>00</v>
      </c>
      <c r="F2062" t="str">
        <f t="shared" si="646"/>
        <v>000</v>
      </c>
      <c r="G2062">
        <v>5</v>
      </c>
      <c r="H2062" t="str">
        <f t="shared" si="643"/>
        <v>00</v>
      </c>
      <c r="I2062" t="str">
        <f t="shared" si="645"/>
        <v>0</v>
      </c>
      <c r="J2062" t="str">
        <f t="shared" si="639"/>
        <v>00</v>
      </c>
      <c r="K2062">
        <v>20141226</v>
      </c>
      <c r="L2062" t="str">
        <f t="shared" ref="L2062:L2071" si="650">"TRS12B"</f>
        <v>TRS12B</v>
      </c>
      <c r="M2062" t="str">
        <f t="shared" si="649"/>
        <v>00355</v>
      </c>
      <c r="N2062" t="s">
        <v>295</v>
      </c>
      <c r="O2062" s="1">
        <v>15769.45</v>
      </c>
      <c r="Q2062" t="s">
        <v>33</v>
      </c>
      <c r="R2062" t="s">
        <v>34</v>
      </c>
      <c r="S2062" t="s">
        <v>35</v>
      </c>
      <c r="T2062" t="s">
        <v>35</v>
      </c>
      <c r="U2062" t="s">
        <v>34</v>
      </c>
      <c r="V2062" t="str">
        <f>""</f>
        <v/>
      </c>
      <c r="W2062">
        <v>20141226</v>
      </c>
      <c r="X2062" t="s">
        <v>997</v>
      </c>
      <c r="Y2062" t="s">
        <v>989</v>
      </c>
      <c r="Z2062" t="s">
        <v>989</v>
      </c>
      <c r="AA2062">
        <v>0</v>
      </c>
      <c r="AB2062" t="s">
        <v>142</v>
      </c>
      <c r="AC2062" t="s">
        <v>39</v>
      </c>
      <c r="AD2062" t="s">
        <v>144</v>
      </c>
      <c r="AE2062" t="str">
        <f t="shared" si="648"/>
        <v>12</v>
      </c>
      <c r="AF2062" t="s">
        <v>40</v>
      </c>
    </row>
    <row r="2063" spans="1:32" x14ac:dyDescent="0.25">
      <c r="A2063">
        <v>5</v>
      </c>
      <c r="B2063">
        <v>420</v>
      </c>
      <c r="C2063" t="str">
        <f t="shared" si="642"/>
        <v>00</v>
      </c>
      <c r="D2063">
        <v>2155</v>
      </c>
      <c r="E2063" t="str">
        <f>"01"</f>
        <v>01</v>
      </c>
      <c r="F2063" t="str">
        <f t="shared" si="646"/>
        <v>000</v>
      </c>
      <c r="G2063">
        <v>5</v>
      </c>
      <c r="H2063" t="str">
        <f t="shared" si="643"/>
        <v>00</v>
      </c>
      <c r="I2063" t="str">
        <f t="shared" si="645"/>
        <v>0</v>
      </c>
      <c r="J2063" t="str">
        <f t="shared" si="639"/>
        <v>00</v>
      </c>
      <c r="K2063">
        <v>20141226</v>
      </c>
      <c r="L2063" t="str">
        <f t="shared" si="650"/>
        <v>TRS12B</v>
      </c>
      <c r="M2063" t="str">
        <f t="shared" si="649"/>
        <v>00355</v>
      </c>
      <c r="N2063" t="s">
        <v>295</v>
      </c>
      <c r="O2063">
        <v>353.95</v>
      </c>
      <c r="Q2063" t="s">
        <v>33</v>
      </c>
      <c r="R2063" t="s">
        <v>34</v>
      </c>
      <c r="S2063" t="s">
        <v>35</v>
      </c>
      <c r="T2063" t="s">
        <v>35</v>
      </c>
      <c r="U2063" t="s">
        <v>34</v>
      </c>
      <c r="V2063" t="str">
        <f>""</f>
        <v/>
      </c>
      <c r="W2063">
        <v>20141226</v>
      </c>
      <c r="X2063" t="s">
        <v>998</v>
      </c>
      <c r="Y2063" t="s">
        <v>989</v>
      </c>
      <c r="Z2063" t="s">
        <v>989</v>
      </c>
      <c r="AA2063">
        <v>0</v>
      </c>
      <c r="AB2063" t="s">
        <v>142</v>
      </c>
      <c r="AC2063" t="s">
        <v>39</v>
      </c>
      <c r="AD2063" t="s">
        <v>144</v>
      </c>
      <c r="AE2063" t="str">
        <f t="shared" si="648"/>
        <v>12</v>
      </c>
      <c r="AF2063" t="s">
        <v>40</v>
      </c>
    </row>
    <row r="2064" spans="1:32" x14ac:dyDescent="0.25">
      <c r="A2064">
        <v>5</v>
      </c>
      <c r="B2064">
        <v>420</v>
      </c>
      <c r="C2064" t="str">
        <f t="shared" si="642"/>
        <v>00</v>
      </c>
      <c r="D2064">
        <v>2155</v>
      </c>
      <c r="E2064" t="str">
        <f>"03"</f>
        <v>03</v>
      </c>
      <c r="F2064" t="str">
        <f t="shared" si="646"/>
        <v>000</v>
      </c>
      <c r="G2064">
        <v>5</v>
      </c>
      <c r="H2064" t="str">
        <f t="shared" si="643"/>
        <v>00</v>
      </c>
      <c r="I2064" t="str">
        <f t="shared" si="645"/>
        <v>0</v>
      </c>
      <c r="J2064" t="str">
        <f t="shared" si="639"/>
        <v>00</v>
      </c>
      <c r="K2064">
        <v>20141226</v>
      </c>
      <c r="L2064" t="str">
        <f t="shared" si="650"/>
        <v>TRS12B</v>
      </c>
      <c r="M2064" t="str">
        <f t="shared" si="649"/>
        <v>00355</v>
      </c>
      <c r="N2064" t="s">
        <v>295</v>
      </c>
      <c r="O2064">
        <v>52.06</v>
      </c>
      <c r="Q2064" t="s">
        <v>33</v>
      </c>
      <c r="R2064" t="s">
        <v>34</v>
      </c>
      <c r="S2064" t="s">
        <v>35</v>
      </c>
      <c r="T2064" t="s">
        <v>35</v>
      </c>
      <c r="U2064" t="s">
        <v>34</v>
      </c>
      <c r="V2064" t="str">
        <f>""</f>
        <v/>
      </c>
      <c r="W2064">
        <v>20141226</v>
      </c>
      <c r="X2064" t="s">
        <v>999</v>
      </c>
      <c r="Y2064" t="s">
        <v>989</v>
      </c>
      <c r="Z2064" t="s">
        <v>989</v>
      </c>
      <c r="AA2064">
        <v>0</v>
      </c>
      <c r="AB2064" t="s">
        <v>142</v>
      </c>
      <c r="AC2064" t="s">
        <v>39</v>
      </c>
      <c r="AD2064" t="s">
        <v>144</v>
      </c>
      <c r="AE2064" t="str">
        <f t="shared" si="648"/>
        <v>12</v>
      </c>
      <c r="AF2064" t="s">
        <v>40</v>
      </c>
    </row>
    <row r="2065" spans="1:32" x14ac:dyDescent="0.25">
      <c r="A2065">
        <v>5</v>
      </c>
      <c r="B2065">
        <v>420</v>
      </c>
      <c r="C2065" t="str">
        <f t="shared" si="642"/>
        <v>00</v>
      </c>
      <c r="D2065">
        <v>2155</v>
      </c>
      <c r="E2065" t="str">
        <f>"04"</f>
        <v>04</v>
      </c>
      <c r="F2065" t="str">
        <f t="shared" si="646"/>
        <v>000</v>
      </c>
      <c r="G2065">
        <v>5</v>
      </c>
      <c r="H2065" t="str">
        <f t="shared" si="643"/>
        <v>00</v>
      </c>
      <c r="I2065" t="str">
        <f t="shared" si="645"/>
        <v>0</v>
      </c>
      <c r="J2065" t="str">
        <f t="shared" si="639"/>
        <v>00</v>
      </c>
      <c r="K2065">
        <v>20141226</v>
      </c>
      <c r="L2065" t="str">
        <f t="shared" si="650"/>
        <v>TRS12B</v>
      </c>
      <c r="M2065" t="str">
        <f t="shared" si="649"/>
        <v>00355</v>
      </c>
      <c r="N2065" t="s">
        <v>295</v>
      </c>
      <c r="O2065" s="1">
        <v>1180.03</v>
      </c>
      <c r="Q2065" t="s">
        <v>33</v>
      </c>
      <c r="R2065" t="s">
        <v>34</v>
      </c>
      <c r="S2065" t="s">
        <v>35</v>
      </c>
      <c r="T2065" t="s">
        <v>35</v>
      </c>
      <c r="U2065" t="s">
        <v>34</v>
      </c>
      <c r="V2065" t="str">
        <f>""</f>
        <v/>
      </c>
      <c r="W2065">
        <v>20141226</v>
      </c>
      <c r="X2065" t="s">
        <v>1000</v>
      </c>
      <c r="Y2065" t="s">
        <v>989</v>
      </c>
      <c r="Z2065" t="s">
        <v>989</v>
      </c>
      <c r="AA2065">
        <v>0</v>
      </c>
      <c r="AB2065" t="s">
        <v>142</v>
      </c>
      <c r="AC2065" t="s">
        <v>39</v>
      </c>
      <c r="AD2065" t="s">
        <v>144</v>
      </c>
      <c r="AE2065" t="str">
        <f t="shared" si="648"/>
        <v>12</v>
      </c>
      <c r="AF2065" t="s">
        <v>40</v>
      </c>
    </row>
    <row r="2066" spans="1:32" x14ac:dyDescent="0.25">
      <c r="A2066">
        <v>5</v>
      </c>
      <c r="B2066">
        <v>420</v>
      </c>
      <c r="C2066" t="str">
        <f t="shared" si="642"/>
        <v>00</v>
      </c>
      <c r="D2066">
        <v>2155</v>
      </c>
      <c r="E2066" t="str">
        <f>"05"</f>
        <v>05</v>
      </c>
      <c r="F2066" t="str">
        <f t="shared" si="646"/>
        <v>000</v>
      </c>
      <c r="G2066">
        <v>5</v>
      </c>
      <c r="H2066" t="str">
        <f t="shared" si="643"/>
        <v>00</v>
      </c>
      <c r="I2066" t="str">
        <f t="shared" si="645"/>
        <v>0</v>
      </c>
      <c r="J2066" t="str">
        <f t="shared" si="639"/>
        <v>00</v>
      </c>
      <c r="K2066">
        <v>20141226</v>
      </c>
      <c r="L2066" t="str">
        <f t="shared" si="650"/>
        <v>TRS12B</v>
      </c>
      <c r="M2066" t="str">
        <f t="shared" si="649"/>
        <v>00355</v>
      </c>
      <c r="N2066" t="s">
        <v>295</v>
      </c>
      <c r="O2066">
        <v>957.66</v>
      </c>
      <c r="Q2066" t="s">
        <v>33</v>
      </c>
      <c r="R2066" t="s">
        <v>34</v>
      </c>
      <c r="S2066" t="s">
        <v>35</v>
      </c>
      <c r="T2066" t="s">
        <v>35</v>
      </c>
      <c r="U2066" t="s">
        <v>34</v>
      </c>
      <c r="V2066" t="str">
        <f>""</f>
        <v/>
      </c>
      <c r="W2066">
        <v>20141226</v>
      </c>
      <c r="X2066" t="s">
        <v>1001</v>
      </c>
      <c r="Y2066" t="s">
        <v>989</v>
      </c>
      <c r="Z2066" t="s">
        <v>989</v>
      </c>
      <c r="AA2066">
        <v>0</v>
      </c>
      <c r="AB2066" t="s">
        <v>142</v>
      </c>
      <c r="AC2066" t="s">
        <v>39</v>
      </c>
      <c r="AD2066" t="s">
        <v>144</v>
      </c>
      <c r="AE2066" t="str">
        <f t="shared" si="648"/>
        <v>12</v>
      </c>
      <c r="AF2066" t="s">
        <v>40</v>
      </c>
    </row>
    <row r="2067" spans="1:32" x14ac:dyDescent="0.25">
      <c r="A2067">
        <v>5</v>
      </c>
      <c r="B2067">
        <v>420</v>
      </c>
      <c r="C2067" t="str">
        <f t="shared" si="642"/>
        <v>00</v>
      </c>
      <c r="D2067">
        <v>2155</v>
      </c>
      <c r="E2067" t="str">
        <f>"06"</f>
        <v>06</v>
      </c>
      <c r="F2067" t="str">
        <f t="shared" si="646"/>
        <v>000</v>
      </c>
      <c r="G2067">
        <v>5</v>
      </c>
      <c r="H2067" t="str">
        <f t="shared" si="643"/>
        <v>00</v>
      </c>
      <c r="I2067" t="str">
        <f t="shared" si="645"/>
        <v>0</v>
      </c>
      <c r="J2067" t="str">
        <f t="shared" si="639"/>
        <v>00</v>
      </c>
      <c r="K2067">
        <v>20141226</v>
      </c>
      <c r="L2067" t="str">
        <f t="shared" si="650"/>
        <v>TRS12B</v>
      </c>
      <c r="M2067" t="str">
        <f t="shared" si="649"/>
        <v>00355</v>
      </c>
      <c r="N2067" t="s">
        <v>295</v>
      </c>
      <c r="O2067">
        <v>313.97000000000003</v>
      </c>
      <c r="Q2067" t="s">
        <v>33</v>
      </c>
      <c r="R2067" t="s">
        <v>34</v>
      </c>
      <c r="S2067" t="s">
        <v>35</v>
      </c>
      <c r="T2067" t="s">
        <v>35</v>
      </c>
      <c r="U2067" t="s">
        <v>34</v>
      </c>
      <c r="V2067" t="str">
        <f>""</f>
        <v/>
      </c>
      <c r="W2067">
        <v>20141226</v>
      </c>
      <c r="X2067" t="s">
        <v>1002</v>
      </c>
      <c r="Y2067" t="s">
        <v>989</v>
      </c>
      <c r="Z2067" t="s">
        <v>989</v>
      </c>
      <c r="AA2067">
        <v>0</v>
      </c>
      <c r="AB2067" t="s">
        <v>142</v>
      </c>
      <c r="AC2067" t="s">
        <v>39</v>
      </c>
      <c r="AD2067" t="s">
        <v>144</v>
      </c>
      <c r="AE2067" t="str">
        <f t="shared" si="648"/>
        <v>12</v>
      </c>
      <c r="AF2067" t="s">
        <v>40</v>
      </c>
    </row>
    <row r="2068" spans="1:32" x14ac:dyDescent="0.25">
      <c r="A2068">
        <v>5</v>
      </c>
      <c r="B2068">
        <v>420</v>
      </c>
      <c r="C2068" t="str">
        <f t="shared" si="642"/>
        <v>00</v>
      </c>
      <c r="D2068">
        <v>2155</v>
      </c>
      <c r="E2068" t="str">
        <f>"08"</f>
        <v>08</v>
      </c>
      <c r="F2068" t="str">
        <f t="shared" si="646"/>
        <v>000</v>
      </c>
      <c r="G2068">
        <v>5</v>
      </c>
      <c r="H2068" t="str">
        <f t="shared" si="643"/>
        <v>00</v>
      </c>
      <c r="I2068" t="str">
        <f t="shared" si="645"/>
        <v>0</v>
      </c>
      <c r="J2068" t="str">
        <f t="shared" si="639"/>
        <v>00</v>
      </c>
      <c r="K2068">
        <v>20141226</v>
      </c>
      <c r="L2068" t="str">
        <f t="shared" si="650"/>
        <v>TRS12B</v>
      </c>
      <c r="M2068" t="str">
        <f t="shared" si="649"/>
        <v>00355</v>
      </c>
      <c r="N2068" t="s">
        <v>295</v>
      </c>
      <c r="O2068" s="1">
        <v>3196.26</v>
      </c>
      <c r="Q2068" t="s">
        <v>33</v>
      </c>
      <c r="R2068" t="s">
        <v>34</v>
      </c>
      <c r="S2068" t="s">
        <v>35</v>
      </c>
      <c r="T2068" t="s">
        <v>35</v>
      </c>
      <c r="U2068" t="s">
        <v>34</v>
      </c>
      <c r="V2068" t="str">
        <f>""</f>
        <v/>
      </c>
      <c r="W2068">
        <v>20141226</v>
      </c>
      <c r="X2068" t="s">
        <v>1003</v>
      </c>
      <c r="Y2068" t="s">
        <v>989</v>
      </c>
      <c r="Z2068" t="s">
        <v>989</v>
      </c>
      <c r="AA2068">
        <v>0</v>
      </c>
      <c r="AB2068" t="s">
        <v>142</v>
      </c>
      <c r="AC2068" t="s">
        <v>39</v>
      </c>
      <c r="AD2068" t="s">
        <v>144</v>
      </c>
      <c r="AE2068" t="str">
        <f t="shared" si="648"/>
        <v>12</v>
      </c>
      <c r="AF2068" t="s">
        <v>40</v>
      </c>
    </row>
    <row r="2069" spans="1:32" x14ac:dyDescent="0.25">
      <c r="A2069">
        <v>5</v>
      </c>
      <c r="B2069">
        <v>420</v>
      </c>
      <c r="C2069" t="str">
        <f t="shared" si="642"/>
        <v>00</v>
      </c>
      <c r="D2069">
        <v>2153</v>
      </c>
      <c r="E2069" t="str">
        <f>"00"</f>
        <v>00</v>
      </c>
      <c r="F2069" t="str">
        <f>"010"</f>
        <v>010</v>
      </c>
      <c r="G2069">
        <v>5</v>
      </c>
      <c r="H2069" t="str">
        <f t="shared" si="643"/>
        <v>00</v>
      </c>
      <c r="I2069" t="str">
        <f t="shared" si="645"/>
        <v>0</v>
      </c>
      <c r="J2069" t="str">
        <f t="shared" si="639"/>
        <v>00</v>
      </c>
      <c r="K2069">
        <v>20141231</v>
      </c>
      <c r="L2069" t="str">
        <f t="shared" si="650"/>
        <v>TRS12B</v>
      </c>
      <c r="M2069" t="str">
        <f t="shared" si="649"/>
        <v>00355</v>
      </c>
      <c r="N2069" t="s">
        <v>295</v>
      </c>
      <c r="O2069" s="1">
        <v>1950</v>
      </c>
      <c r="Q2069" t="s">
        <v>33</v>
      </c>
      <c r="R2069" t="s">
        <v>34</v>
      </c>
      <c r="S2069" t="s">
        <v>35</v>
      </c>
      <c r="T2069" t="s">
        <v>35</v>
      </c>
      <c r="U2069" t="s">
        <v>34</v>
      </c>
      <c r="V2069" t="str">
        <f>""</f>
        <v/>
      </c>
      <c r="W2069">
        <v>20141231</v>
      </c>
      <c r="X2069" t="s">
        <v>990</v>
      </c>
      <c r="Y2069" t="s">
        <v>1013</v>
      </c>
      <c r="Z2069" t="s">
        <v>1013</v>
      </c>
      <c r="AA2069">
        <v>0</v>
      </c>
      <c r="AB2069" t="s">
        <v>142</v>
      </c>
      <c r="AC2069" t="s">
        <v>992</v>
      </c>
      <c r="AD2069" t="s">
        <v>144</v>
      </c>
      <c r="AE2069" t="str">
        <f t="shared" si="648"/>
        <v>12</v>
      </c>
      <c r="AF2069" t="s">
        <v>40</v>
      </c>
    </row>
    <row r="2070" spans="1:32" x14ac:dyDescent="0.25">
      <c r="A2070">
        <v>5</v>
      </c>
      <c r="B2070">
        <v>420</v>
      </c>
      <c r="C2070" t="str">
        <f t="shared" si="642"/>
        <v>00</v>
      </c>
      <c r="D2070">
        <v>2153</v>
      </c>
      <c r="E2070" t="str">
        <f>"00"</f>
        <v>00</v>
      </c>
      <c r="F2070" t="str">
        <f>"011"</f>
        <v>011</v>
      </c>
      <c r="G2070">
        <v>5</v>
      </c>
      <c r="H2070" t="str">
        <f t="shared" si="643"/>
        <v>00</v>
      </c>
      <c r="I2070" t="str">
        <f t="shared" si="645"/>
        <v>0</v>
      </c>
      <c r="J2070" t="str">
        <f t="shared" si="639"/>
        <v>00</v>
      </c>
      <c r="K2070">
        <v>20141231</v>
      </c>
      <c r="L2070" t="str">
        <f t="shared" si="650"/>
        <v>TRS12B</v>
      </c>
      <c r="M2070" t="str">
        <f t="shared" si="649"/>
        <v>00355</v>
      </c>
      <c r="N2070" t="s">
        <v>295</v>
      </c>
      <c r="O2070" s="1">
        <v>7246</v>
      </c>
      <c r="Q2070" t="s">
        <v>33</v>
      </c>
      <c r="R2070" t="s">
        <v>34</v>
      </c>
      <c r="S2070" t="s">
        <v>35</v>
      </c>
      <c r="T2070" t="s">
        <v>35</v>
      </c>
      <c r="U2070" t="s">
        <v>34</v>
      </c>
      <c r="V2070" t="str">
        <f>""</f>
        <v/>
      </c>
      <c r="W2070">
        <v>20141231</v>
      </c>
      <c r="X2070" t="s">
        <v>993</v>
      </c>
      <c r="Y2070" t="s">
        <v>1013</v>
      </c>
      <c r="Z2070" t="s">
        <v>1013</v>
      </c>
      <c r="AA2070">
        <v>0</v>
      </c>
      <c r="AB2070" t="s">
        <v>142</v>
      </c>
      <c r="AC2070" t="s">
        <v>994</v>
      </c>
      <c r="AD2070" t="s">
        <v>144</v>
      </c>
      <c r="AE2070" t="str">
        <f t="shared" si="648"/>
        <v>12</v>
      </c>
      <c r="AF2070" t="s">
        <v>40</v>
      </c>
    </row>
    <row r="2071" spans="1:32" x14ac:dyDescent="0.25">
      <c r="A2071">
        <v>5</v>
      </c>
      <c r="B2071">
        <v>420</v>
      </c>
      <c r="C2071" t="str">
        <f t="shared" si="642"/>
        <v>00</v>
      </c>
      <c r="D2071">
        <v>2153</v>
      </c>
      <c r="E2071" t="str">
        <f>"00"</f>
        <v>00</v>
      </c>
      <c r="F2071" t="str">
        <f>"012"</f>
        <v>012</v>
      </c>
      <c r="G2071">
        <v>5</v>
      </c>
      <c r="H2071" t="str">
        <f t="shared" si="643"/>
        <v>00</v>
      </c>
      <c r="I2071" t="str">
        <f t="shared" si="645"/>
        <v>0</v>
      </c>
      <c r="J2071" t="str">
        <f t="shared" si="639"/>
        <v>00</v>
      </c>
      <c r="K2071">
        <v>20141231</v>
      </c>
      <c r="L2071" t="str">
        <f t="shared" si="650"/>
        <v>TRS12B</v>
      </c>
      <c r="M2071" t="str">
        <f t="shared" si="649"/>
        <v>00355</v>
      </c>
      <c r="N2071" t="s">
        <v>295</v>
      </c>
      <c r="O2071" s="1">
        <v>7939.5</v>
      </c>
      <c r="Q2071" t="s">
        <v>33</v>
      </c>
      <c r="R2071" t="s">
        <v>34</v>
      </c>
      <c r="S2071" t="s">
        <v>35</v>
      </c>
      <c r="T2071" t="s">
        <v>35</v>
      </c>
      <c r="U2071" t="s">
        <v>34</v>
      </c>
      <c r="V2071" t="str">
        <f>""</f>
        <v/>
      </c>
      <c r="W2071">
        <v>20141231</v>
      </c>
      <c r="X2071" t="s">
        <v>995</v>
      </c>
      <c r="Y2071" t="s">
        <v>1013</v>
      </c>
      <c r="Z2071" t="s">
        <v>1013</v>
      </c>
      <c r="AA2071">
        <v>0</v>
      </c>
      <c r="AB2071" t="s">
        <v>142</v>
      </c>
      <c r="AC2071" t="s">
        <v>996</v>
      </c>
      <c r="AD2071" t="s">
        <v>144</v>
      </c>
      <c r="AE2071" t="str">
        <f t="shared" si="648"/>
        <v>12</v>
      </c>
      <c r="AF2071" t="s">
        <v>40</v>
      </c>
    </row>
    <row r="2072" spans="1:32" x14ac:dyDescent="0.25">
      <c r="A2072">
        <v>5</v>
      </c>
      <c r="B2072">
        <v>420</v>
      </c>
      <c r="C2072" t="str">
        <f t="shared" si="642"/>
        <v>00</v>
      </c>
      <c r="D2072">
        <v>2158</v>
      </c>
      <c r="E2072" t="str">
        <f>"02"</f>
        <v>02</v>
      </c>
      <c r="F2072" t="str">
        <f>"000"</f>
        <v>000</v>
      </c>
      <c r="G2072">
        <v>5</v>
      </c>
      <c r="H2072" t="str">
        <f t="shared" si="643"/>
        <v>00</v>
      </c>
      <c r="I2072" t="str">
        <f t="shared" si="645"/>
        <v>0</v>
      </c>
      <c r="J2072" t="str">
        <f t="shared" si="639"/>
        <v>00</v>
      </c>
      <c r="K2072">
        <v>20141002</v>
      </c>
      <c r="L2072" t="str">
        <f>"TWC09"</f>
        <v>TWC09</v>
      </c>
      <c r="M2072" t="str">
        <f>"00344"</f>
        <v>00344</v>
      </c>
      <c r="N2072" t="s">
        <v>1014</v>
      </c>
      <c r="O2072" s="1">
        <v>8700.09</v>
      </c>
      <c r="Q2072" t="s">
        <v>33</v>
      </c>
      <c r="R2072" t="s">
        <v>34</v>
      </c>
      <c r="S2072" t="s">
        <v>35</v>
      </c>
      <c r="T2072" t="s">
        <v>35</v>
      </c>
      <c r="U2072" t="s">
        <v>34</v>
      </c>
      <c r="V2072" t="str">
        <f>""</f>
        <v/>
      </c>
      <c r="W2072">
        <v>20141002</v>
      </c>
      <c r="X2072" t="s">
        <v>1015</v>
      </c>
      <c r="Y2072" t="s">
        <v>987</v>
      </c>
      <c r="Z2072" t="s">
        <v>987</v>
      </c>
      <c r="AA2072">
        <v>0</v>
      </c>
      <c r="AB2072" t="s">
        <v>142</v>
      </c>
      <c r="AC2072" t="s">
        <v>39</v>
      </c>
      <c r="AD2072" t="s">
        <v>144</v>
      </c>
      <c r="AE2072" t="str">
        <f>"10"</f>
        <v>10</v>
      </c>
      <c r="AF2072" t="s">
        <v>40</v>
      </c>
    </row>
    <row r="2073" spans="1:32" x14ac:dyDescent="0.25">
      <c r="A2073">
        <v>5</v>
      </c>
      <c r="B2073">
        <v>420</v>
      </c>
      <c r="C2073" t="str">
        <f t="shared" si="642"/>
        <v>00</v>
      </c>
      <c r="D2073">
        <v>2158</v>
      </c>
      <c r="E2073" t="str">
        <f>"02"</f>
        <v>02</v>
      </c>
      <c r="F2073" t="str">
        <f>"000"</f>
        <v>000</v>
      </c>
      <c r="G2073">
        <v>5</v>
      </c>
      <c r="H2073" t="str">
        <f t="shared" si="643"/>
        <v>00</v>
      </c>
      <c r="I2073" t="str">
        <f t="shared" si="645"/>
        <v>0</v>
      </c>
      <c r="J2073" t="str">
        <f t="shared" si="639"/>
        <v>00</v>
      </c>
      <c r="K2073">
        <v>20150423</v>
      </c>
      <c r="L2073" t="str">
        <f>"TWCQ1"</f>
        <v>TWCQ1</v>
      </c>
      <c r="M2073" t="str">
        <f>"00344"</f>
        <v>00344</v>
      </c>
      <c r="N2073" t="s">
        <v>1016</v>
      </c>
      <c r="O2073" s="1">
        <v>17564</v>
      </c>
      <c r="Q2073" t="s">
        <v>33</v>
      </c>
      <c r="R2073" t="s">
        <v>34</v>
      </c>
      <c r="S2073" t="s">
        <v>35</v>
      </c>
      <c r="T2073" t="s">
        <v>35</v>
      </c>
      <c r="U2073" t="s">
        <v>34</v>
      </c>
      <c r="V2073" t="str">
        <f>""</f>
        <v/>
      </c>
      <c r="W2073">
        <v>20150423</v>
      </c>
      <c r="X2073" t="s">
        <v>1015</v>
      </c>
      <c r="Y2073" t="s">
        <v>982</v>
      </c>
      <c r="Z2073" t="s">
        <v>982</v>
      </c>
      <c r="AA2073">
        <v>0</v>
      </c>
      <c r="AB2073" t="s">
        <v>142</v>
      </c>
      <c r="AC2073" t="s">
        <v>39</v>
      </c>
      <c r="AD2073" t="s">
        <v>144</v>
      </c>
      <c r="AE2073" t="str">
        <f>"04"</f>
        <v>04</v>
      </c>
      <c r="AF2073" t="s">
        <v>40</v>
      </c>
    </row>
    <row r="2074" spans="1:32" x14ac:dyDescent="0.25">
      <c r="A2074">
        <v>5</v>
      </c>
      <c r="B2074">
        <v>420</v>
      </c>
      <c r="C2074" t="str">
        <f t="shared" si="642"/>
        <v>00</v>
      </c>
      <c r="D2074">
        <v>2158</v>
      </c>
      <c r="E2074" t="str">
        <f>"02"</f>
        <v>02</v>
      </c>
      <c r="F2074" t="str">
        <f>"000"</f>
        <v>000</v>
      </c>
      <c r="G2074">
        <v>5</v>
      </c>
      <c r="H2074" t="str">
        <f t="shared" si="643"/>
        <v>00</v>
      </c>
      <c r="I2074" t="str">
        <f t="shared" si="645"/>
        <v>0</v>
      </c>
      <c r="J2074" t="str">
        <f t="shared" si="639"/>
        <v>00</v>
      </c>
      <c r="K2074">
        <v>20150720</v>
      </c>
      <c r="L2074" t="str">
        <f>"TWCQ2"</f>
        <v>TWCQ2</v>
      </c>
      <c r="M2074" t="str">
        <f>"00344"</f>
        <v>00344</v>
      </c>
      <c r="N2074" t="s">
        <v>1016</v>
      </c>
      <c r="O2074" s="1">
        <v>5010.5</v>
      </c>
      <c r="Q2074" t="s">
        <v>33</v>
      </c>
      <c r="R2074" t="s">
        <v>34</v>
      </c>
      <c r="S2074" t="s">
        <v>35</v>
      </c>
      <c r="T2074" t="s">
        <v>35</v>
      </c>
      <c r="U2074" t="s">
        <v>34</v>
      </c>
      <c r="V2074" t="str">
        <f>""</f>
        <v/>
      </c>
      <c r="W2074">
        <v>20150720</v>
      </c>
      <c r="X2074" t="s">
        <v>1015</v>
      </c>
      <c r="Y2074" t="s">
        <v>985</v>
      </c>
      <c r="Z2074" t="s">
        <v>985</v>
      </c>
      <c r="AA2074">
        <v>0</v>
      </c>
      <c r="AB2074" t="s">
        <v>142</v>
      </c>
      <c r="AC2074" t="s">
        <v>39</v>
      </c>
      <c r="AD2074" t="s">
        <v>144</v>
      </c>
      <c r="AE2074" t="str">
        <f>"07"</f>
        <v>07</v>
      </c>
      <c r="AF2074" t="s">
        <v>40</v>
      </c>
    </row>
    <row r="2075" spans="1:32" x14ac:dyDescent="0.25">
      <c r="A2075">
        <v>5</v>
      </c>
      <c r="B2075">
        <v>420</v>
      </c>
      <c r="C2075" t="str">
        <f t="shared" si="642"/>
        <v>00</v>
      </c>
      <c r="D2075">
        <v>2158</v>
      </c>
      <c r="E2075" t="str">
        <f>"02"</f>
        <v>02</v>
      </c>
      <c r="F2075" t="str">
        <f>"000"</f>
        <v>000</v>
      </c>
      <c r="G2075">
        <v>5</v>
      </c>
      <c r="H2075" t="str">
        <f t="shared" si="643"/>
        <v>00</v>
      </c>
      <c r="I2075" t="str">
        <f t="shared" si="645"/>
        <v>0</v>
      </c>
      <c r="J2075" t="str">
        <f t="shared" si="639"/>
        <v>00</v>
      </c>
      <c r="K2075">
        <v>20150126</v>
      </c>
      <c r="L2075" t="str">
        <f>"TWCQ4"</f>
        <v>TWCQ4</v>
      </c>
      <c r="M2075" t="str">
        <f>"00344"</f>
        <v>00344</v>
      </c>
      <c r="N2075" t="s">
        <v>1016</v>
      </c>
      <c r="O2075" s="1">
        <v>10408.6</v>
      </c>
      <c r="Q2075" t="s">
        <v>33</v>
      </c>
      <c r="R2075" t="s">
        <v>34</v>
      </c>
      <c r="S2075" t="s">
        <v>35</v>
      </c>
      <c r="T2075" t="s">
        <v>35</v>
      </c>
      <c r="U2075" t="s">
        <v>34</v>
      </c>
      <c r="V2075" t="str">
        <f>""</f>
        <v/>
      </c>
      <c r="W2075">
        <v>20150126</v>
      </c>
      <c r="X2075" t="s">
        <v>1015</v>
      </c>
      <c r="Y2075" t="s">
        <v>977</v>
      </c>
      <c r="Z2075" t="s">
        <v>977</v>
      </c>
      <c r="AA2075">
        <v>0</v>
      </c>
      <c r="AB2075" t="s">
        <v>142</v>
      </c>
      <c r="AC2075" t="s">
        <v>39</v>
      </c>
      <c r="AD2075" t="s">
        <v>144</v>
      </c>
      <c r="AE2075" t="str">
        <f>"01"</f>
        <v>01</v>
      </c>
      <c r="AF2075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2014-2015 YTD Check 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Senegal</dc:creator>
  <cp:lastModifiedBy>Brandon Senegal</cp:lastModifiedBy>
  <dcterms:created xsi:type="dcterms:W3CDTF">2016-01-13T21:17:38Z</dcterms:created>
  <dcterms:modified xsi:type="dcterms:W3CDTF">2016-01-13T21:18:12Z</dcterms:modified>
</cp:coreProperties>
</file>